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22071C3F-34D0-495C-8ACE-F2A56622252B}" xr6:coauthVersionLast="45" xr6:coauthVersionMax="45" xr10:uidLastSave="{00000000-0000-0000-0000-000000000000}"/>
  <bookViews>
    <workbookView xWindow="-27525" yWindow="690" windowWidth="27990" windowHeight="14025" activeTab="17" xr2:uid="{00000000-000D-0000-FFFF-FFFF00000000}"/>
  </bookViews>
  <sheets>
    <sheet name="ADAA|0001-00" sheetId="12" r:id="rId1"/>
    <sheet name="ADAA|0365-00" sheetId="13" r:id="rId2"/>
    <sheet name="ADAA|0450-00" sheetId="14" r:id="rId3"/>
    <sheet name="ADAA|0519-00" sheetId="15" r:id="rId4"/>
    <sheet name="ADAC|0365-00" sheetId="16" r:id="rId5"/>
    <sheet name="ADAC|0450-00" sheetId="17" r:id="rId6"/>
    <sheet name="ADAD|0450-00" sheetId="18" r:id="rId7"/>
    <sheet name="ADAD|0456-00" sheetId="19" r:id="rId8"/>
    <sheet name="ADAK|0461-00" sheetId="25" r:id="rId9"/>
    <sheet name="ADAK|0462-00" sheetId="26" r:id="rId10"/>
    <sheet name="ADAK|0519-00" sheetId="27" r:id="rId11"/>
    <sheet name="ADAM|0001-00" sheetId="28" r:id="rId12"/>
    <sheet name="ADAM|0450-00" sheetId="29" r:id="rId13"/>
    <sheet name="ADAN|0456-00" sheetId="30" r:id="rId14"/>
    <sheet name="ADAN|0461-00" sheetId="31" r:id="rId15"/>
    <sheet name="ADAN|0462-00" sheetId="32" r:id="rId16"/>
    <sheet name="Data" sheetId="5" r:id="rId17"/>
    <sheet name="Benefits" sheetId="7" r:id="rId18"/>
    <sheet name="B6" sheetId="9" r:id="rId19"/>
    <sheet name="Summary" sheetId="10" r:id="rId20"/>
    <sheet name="FundSummary" sheetId="11" r:id="rId21"/>
  </sheets>
  <definedNames>
    <definedName name="ADAA000100col_1_27TH_PP">Data!$BA$210</definedName>
    <definedName name="ADAA000100col_DHR">Data!$BI$210</definedName>
    <definedName name="ADAA000100col_DHR_BY">Data!$BU$210</definedName>
    <definedName name="ADAA000100col_DHR_CHG">Data!$CG$210</definedName>
    <definedName name="ADAA000100col_FTI_SALARY_ELECT">Data!$AZ$210</definedName>
    <definedName name="ADAA000100col_FTI_SALARY_PERM">Data!$AY$210</definedName>
    <definedName name="ADAA000100col_FTI_SALARY_SSDI">Data!$AX$210</definedName>
    <definedName name="ADAA000100col_Group_Ben">Data!$CM$210</definedName>
    <definedName name="ADAA000100col_Group_Salary">Data!$CL$210</definedName>
    <definedName name="ADAA000100col_HEALTH_ELECT">Data!$BC$210</definedName>
    <definedName name="ADAA000100col_HEALTH_ELECT_BY">Data!$BO$210</definedName>
    <definedName name="ADAA000100col_HEALTH_ELECT_CHG">Data!$CA$210</definedName>
    <definedName name="ADAA000100col_HEALTH_PERM">Data!$BB$210</definedName>
    <definedName name="ADAA000100col_HEALTH_PERM_BY">Data!$BN$210</definedName>
    <definedName name="ADAA000100col_HEALTH_PERM_CHG">Data!$BZ$210</definedName>
    <definedName name="ADAA000100col_INC_FTI">Data!$AS$210</definedName>
    <definedName name="ADAA000100col_LIFE_INS">Data!$BG$210</definedName>
    <definedName name="ADAA000100col_LIFE_INS_BY">Data!$BS$210</definedName>
    <definedName name="ADAA000100col_LIFE_INS_CHG">Data!$CE$210</definedName>
    <definedName name="ADAA000100col_RETIREMENT">Data!$BF$210</definedName>
    <definedName name="ADAA000100col_RETIREMENT_BY">Data!$BR$210</definedName>
    <definedName name="ADAA000100col_RETIREMENT_CHG">Data!$CD$210</definedName>
    <definedName name="ADAA000100col_ROWS_PER_PCN">Data!$AW$210</definedName>
    <definedName name="ADAA000100col_SICK">Data!$BK$210</definedName>
    <definedName name="ADAA000100col_SICK_BY">Data!$BW$210</definedName>
    <definedName name="ADAA000100col_SICK_CHG">Data!$CI$210</definedName>
    <definedName name="ADAA000100col_SSDI">Data!$BD$210</definedName>
    <definedName name="ADAA000100col_SSDI_BY">Data!$BP$210</definedName>
    <definedName name="ADAA000100col_SSDI_CHG">Data!$CB$210</definedName>
    <definedName name="ADAA000100col_SSHI">Data!$BE$210</definedName>
    <definedName name="ADAA000100col_SSHI_BY">Data!$BQ$210</definedName>
    <definedName name="ADAA000100col_SSHI_CHGv">Data!$CC$210</definedName>
    <definedName name="ADAA000100col_TOT_VB_ELECT">Data!$BM$210</definedName>
    <definedName name="ADAA000100col_TOT_VB_ELECT_BY">Data!$BY$210</definedName>
    <definedName name="ADAA000100col_TOT_VB_ELECT_CHG">Data!$CK$210</definedName>
    <definedName name="ADAA000100col_TOT_VB_PERM">Data!$BL$210</definedName>
    <definedName name="ADAA000100col_TOT_VB_PERM_BY">Data!$BX$210</definedName>
    <definedName name="ADAA000100col_TOT_VB_PERM_CHG">Data!$CJ$210</definedName>
    <definedName name="ADAA000100col_TOTAL_ELECT_PCN_FTI">Data!$AT$210</definedName>
    <definedName name="ADAA000100col_TOTAL_ELECT_PCN_FTI_ALT">Data!$AV$210</definedName>
    <definedName name="ADAA000100col_TOTAL_PERM_PCN_FTI">Data!$AU$210</definedName>
    <definedName name="ADAA000100col_UNEMP_INS">Data!$BH$210</definedName>
    <definedName name="ADAA000100col_UNEMP_INS_BY">Data!$BT$210</definedName>
    <definedName name="ADAA000100col_UNEMP_INS_CHG">Data!$CF$210</definedName>
    <definedName name="ADAA000100col_WORKERS_COMP">Data!$BJ$210</definedName>
    <definedName name="ADAA000100col_WORKERS_COMP_BY">Data!$BV$210</definedName>
    <definedName name="ADAA000100col_WORKERS_COMP_CHG">Data!$CH$210</definedName>
    <definedName name="ADAA036500col_1_27TH_PP">Data!$BA$212</definedName>
    <definedName name="ADAA036500col_DHR">Data!$BI$212</definedName>
    <definedName name="ADAA036500col_DHR_BY">Data!$BU$212</definedName>
    <definedName name="ADAA036500col_DHR_CHG">Data!$CG$212</definedName>
    <definedName name="ADAA036500col_FTI_SALARY_ELECT">Data!$AZ$212</definedName>
    <definedName name="ADAA036500col_FTI_SALARY_PERM">Data!$AY$212</definedName>
    <definedName name="ADAA036500col_FTI_SALARY_SSDI">Data!$AX$212</definedName>
    <definedName name="ADAA036500col_Group_Ben">Data!$CM$212</definedName>
    <definedName name="ADAA036500col_Group_Salary">Data!$CL$212</definedName>
    <definedName name="ADAA036500col_HEALTH_ELECT">Data!$BC$212</definedName>
    <definedName name="ADAA036500col_HEALTH_ELECT_BY">Data!$BO$212</definedName>
    <definedName name="ADAA036500col_HEALTH_ELECT_CHG">Data!$CA$212</definedName>
    <definedName name="ADAA036500col_HEALTH_PERM">Data!$BB$212</definedName>
    <definedName name="ADAA036500col_HEALTH_PERM_BY">Data!$BN$212</definedName>
    <definedName name="ADAA036500col_HEALTH_PERM_CHG">Data!$BZ$212</definedName>
    <definedName name="ADAA036500col_INC_FTI">Data!$AS$212</definedName>
    <definedName name="ADAA036500col_LIFE_INS">Data!$BG$212</definedName>
    <definedName name="ADAA036500col_LIFE_INS_BY">Data!$BS$212</definedName>
    <definedName name="ADAA036500col_LIFE_INS_CHG">Data!$CE$212</definedName>
    <definedName name="ADAA036500col_RETIREMENT">Data!$BF$212</definedName>
    <definedName name="ADAA036500col_RETIREMENT_BY">Data!$BR$212</definedName>
    <definedName name="ADAA036500col_RETIREMENT_CHG">Data!$CD$212</definedName>
    <definedName name="ADAA036500col_ROWS_PER_PCN">Data!$AW$212</definedName>
    <definedName name="ADAA036500col_SICK">Data!$BK$212</definedName>
    <definedName name="ADAA036500col_SICK_BY">Data!$BW$212</definedName>
    <definedName name="ADAA036500col_SICK_CHG">Data!$CI$212</definedName>
    <definedName name="ADAA036500col_SSDI">Data!$BD$212</definedName>
    <definedName name="ADAA036500col_SSDI_BY">Data!$BP$212</definedName>
    <definedName name="ADAA036500col_SSDI_CHG">Data!$CB$212</definedName>
    <definedName name="ADAA036500col_SSHI">Data!$BE$212</definedName>
    <definedName name="ADAA036500col_SSHI_BY">Data!$BQ$212</definedName>
    <definedName name="ADAA036500col_SSHI_CHGv">Data!$CC$212</definedName>
    <definedName name="ADAA036500col_TOT_VB_ELECT">Data!$BM$212</definedName>
    <definedName name="ADAA036500col_TOT_VB_ELECT_BY">Data!$BY$212</definedName>
    <definedName name="ADAA036500col_TOT_VB_ELECT_CHG">Data!$CK$212</definedName>
    <definedName name="ADAA036500col_TOT_VB_PERM">Data!$BL$212</definedName>
    <definedName name="ADAA036500col_TOT_VB_PERM_BY">Data!$BX$212</definedName>
    <definedName name="ADAA036500col_TOT_VB_PERM_CHG">Data!$CJ$212</definedName>
    <definedName name="ADAA036500col_TOTAL_ELECT_PCN_FTI">Data!$AT$212</definedName>
    <definedName name="ADAA036500col_TOTAL_ELECT_PCN_FTI_ALT">Data!$AV$212</definedName>
    <definedName name="ADAA036500col_TOTAL_PERM_PCN_FTI">Data!$AU$212</definedName>
    <definedName name="ADAA036500col_UNEMP_INS">Data!$BH$212</definedName>
    <definedName name="ADAA036500col_UNEMP_INS_BY">Data!$BT$212</definedName>
    <definedName name="ADAA036500col_UNEMP_INS_CHG">Data!$CF$212</definedName>
    <definedName name="ADAA036500col_WORKERS_COMP">Data!$BJ$212</definedName>
    <definedName name="ADAA036500col_WORKERS_COMP_BY">Data!$BV$212</definedName>
    <definedName name="ADAA036500col_WORKERS_COMP_CHG">Data!$CH$212</definedName>
    <definedName name="ADAA045000col_1_27TH_PP">Data!$BA$215</definedName>
    <definedName name="ADAA045000col_DHR">Data!$BI$215</definedName>
    <definedName name="ADAA045000col_DHR_BY">Data!$BU$215</definedName>
    <definedName name="ADAA045000col_DHR_CHG">Data!$CG$215</definedName>
    <definedName name="ADAA045000col_FTI_SALARY_ELECT">Data!$AZ$215</definedName>
    <definedName name="ADAA045000col_FTI_SALARY_PERM">Data!$AY$215</definedName>
    <definedName name="ADAA045000col_FTI_SALARY_SSDI">Data!$AX$215</definedName>
    <definedName name="ADAA045000col_Group_Ben">Data!$CM$215</definedName>
    <definedName name="ADAA045000col_Group_Salary">Data!$CL$215</definedName>
    <definedName name="ADAA045000col_HEALTH_ELECT">Data!$BC$215</definedName>
    <definedName name="ADAA045000col_HEALTH_ELECT_BY">Data!$BO$215</definedName>
    <definedName name="ADAA045000col_HEALTH_ELECT_CHG">Data!$CA$215</definedName>
    <definedName name="ADAA045000col_HEALTH_PERM">Data!$BB$215</definedName>
    <definedName name="ADAA045000col_HEALTH_PERM_BY">Data!$BN$215</definedName>
    <definedName name="ADAA045000col_HEALTH_PERM_CHG">Data!$BZ$215</definedName>
    <definedName name="ADAA045000col_INC_FTI">Data!$AS$215</definedName>
    <definedName name="ADAA045000col_LIFE_INS">Data!$BG$215</definedName>
    <definedName name="ADAA045000col_LIFE_INS_BY">Data!$BS$215</definedName>
    <definedName name="ADAA045000col_LIFE_INS_CHG">Data!$CE$215</definedName>
    <definedName name="ADAA045000col_RETIREMENT">Data!$BF$215</definedName>
    <definedName name="ADAA045000col_RETIREMENT_BY">Data!$BR$215</definedName>
    <definedName name="ADAA045000col_RETIREMENT_CHG">Data!$CD$215</definedName>
    <definedName name="ADAA045000col_ROWS_PER_PCN">Data!$AW$215</definedName>
    <definedName name="ADAA045000col_SICK">Data!$BK$215</definedName>
    <definedName name="ADAA045000col_SICK_BY">Data!$BW$215</definedName>
    <definedName name="ADAA045000col_SICK_CHG">Data!$CI$215</definedName>
    <definedName name="ADAA045000col_SSDI">Data!$BD$215</definedName>
    <definedName name="ADAA045000col_SSDI_BY">Data!$BP$215</definedName>
    <definedName name="ADAA045000col_SSDI_CHG">Data!$CB$215</definedName>
    <definedName name="ADAA045000col_SSHI">Data!$BE$215</definedName>
    <definedName name="ADAA045000col_SSHI_BY">Data!$BQ$215</definedName>
    <definedName name="ADAA045000col_SSHI_CHGv">Data!$CC$215</definedName>
    <definedName name="ADAA045000col_TOT_VB_ELECT">Data!$BM$215</definedName>
    <definedName name="ADAA045000col_TOT_VB_ELECT_BY">Data!$BY$215</definedName>
    <definedName name="ADAA045000col_TOT_VB_ELECT_CHG">Data!$CK$215</definedName>
    <definedName name="ADAA045000col_TOT_VB_PERM">Data!$BL$215</definedName>
    <definedName name="ADAA045000col_TOT_VB_PERM_BY">Data!$BX$215</definedName>
    <definedName name="ADAA045000col_TOT_VB_PERM_CHG">Data!$CJ$215</definedName>
    <definedName name="ADAA045000col_TOTAL_ELECT_PCN_FTI">Data!$AT$215</definedName>
    <definedName name="ADAA045000col_TOTAL_ELECT_PCN_FTI_ALT">Data!$AV$215</definedName>
    <definedName name="ADAA045000col_TOTAL_PERM_PCN_FTI">Data!$AU$215</definedName>
    <definedName name="ADAA045000col_UNEMP_INS">Data!$BH$215</definedName>
    <definedName name="ADAA045000col_UNEMP_INS_BY">Data!$BT$215</definedName>
    <definedName name="ADAA045000col_UNEMP_INS_CHG">Data!$CF$215</definedName>
    <definedName name="ADAA045000col_WORKERS_COMP">Data!$BJ$215</definedName>
    <definedName name="ADAA045000col_WORKERS_COMP_BY">Data!$BV$215</definedName>
    <definedName name="ADAA045000col_WORKERS_COMP_CHG">Data!$CH$215</definedName>
    <definedName name="ADAA051900col_1_27TH_PP">Data!$BA$217</definedName>
    <definedName name="ADAA051900col_DHR">Data!$BI$217</definedName>
    <definedName name="ADAA051900col_DHR_BY">Data!$BU$217</definedName>
    <definedName name="ADAA051900col_DHR_CHG">Data!$CG$217</definedName>
    <definedName name="ADAA051900col_FTI_SALARY_ELECT">Data!$AZ$217</definedName>
    <definedName name="ADAA051900col_FTI_SALARY_PERM">Data!$AY$217</definedName>
    <definedName name="ADAA051900col_FTI_SALARY_SSDI">Data!$AX$217</definedName>
    <definedName name="ADAA051900col_Group_Ben">Data!$CM$217</definedName>
    <definedName name="ADAA051900col_Group_Salary">Data!$CL$217</definedName>
    <definedName name="ADAA051900col_HEALTH_ELECT">Data!$BC$217</definedName>
    <definedName name="ADAA051900col_HEALTH_ELECT_BY">Data!$BO$217</definedName>
    <definedName name="ADAA051900col_HEALTH_ELECT_CHG">Data!$CA$217</definedName>
    <definedName name="ADAA051900col_HEALTH_PERM">Data!$BB$217</definedName>
    <definedName name="ADAA051900col_HEALTH_PERM_BY">Data!$BN$217</definedName>
    <definedName name="ADAA051900col_HEALTH_PERM_CHG">Data!$BZ$217</definedName>
    <definedName name="ADAA051900col_INC_FTI">Data!$AS$217</definedName>
    <definedName name="ADAA051900col_LIFE_INS">Data!$BG$217</definedName>
    <definedName name="ADAA051900col_LIFE_INS_BY">Data!$BS$217</definedName>
    <definedName name="ADAA051900col_LIFE_INS_CHG">Data!$CE$217</definedName>
    <definedName name="ADAA051900col_RETIREMENT">Data!$BF$217</definedName>
    <definedName name="ADAA051900col_RETIREMENT_BY">Data!$BR$217</definedName>
    <definedName name="ADAA051900col_RETIREMENT_CHG">Data!$CD$217</definedName>
    <definedName name="ADAA051900col_ROWS_PER_PCN">Data!$AW$217</definedName>
    <definedName name="ADAA051900col_SICK">Data!$BK$217</definedName>
    <definedName name="ADAA051900col_SICK_BY">Data!$BW$217</definedName>
    <definedName name="ADAA051900col_SICK_CHG">Data!$CI$217</definedName>
    <definedName name="ADAA051900col_SSDI">Data!$BD$217</definedName>
    <definedName name="ADAA051900col_SSDI_BY">Data!$BP$217</definedName>
    <definedName name="ADAA051900col_SSDI_CHG">Data!$CB$217</definedName>
    <definedName name="ADAA051900col_SSHI">Data!$BE$217</definedName>
    <definedName name="ADAA051900col_SSHI_BY">Data!$BQ$217</definedName>
    <definedName name="ADAA051900col_SSHI_CHGv">Data!$CC$217</definedName>
    <definedName name="ADAA051900col_TOT_VB_ELECT">Data!$BM$217</definedName>
    <definedName name="ADAA051900col_TOT_VB_ELECT_BY">Data!$BY$217</definedName>
    <definedName name="ADAA051900col_TOT_VB_ELECT_CHG">Data!$CK$217</definedName>
    <definedName name="ADAA051900col_TOT_VB_PERM">Data!$BL$217</definedName>
    <definedName name="ADAA051900col_TOT_VB_PERM_BY">Data!$BX$217</definedName>
    <definedName name="ADAA051900col_TOT_VB_PERM_CHG">Data!$CJ$217</definedName>
    <definedName name="ADAA051900col_TOTAL_ELECT_PCN_FTI">Data!$AT$217</definedName>
    <definedName name="ADAA051900col_TOTAL_ELECT_PCN_FTI_ALT">Data!$AV$217</definedName>
    <definedName name="ADAA051900col_TOTAL_PERM_PCN_FTI">Data!$AU$217</definedName>
    <definedName name="ADAA051900col_UNEMP_INS">Data!$BH$217</definedName>
    <definedName name="ADAA051900col_UNEMP_INS_BY">Data!$BT$217</definedName>
    <definedName name="ADAA051900col_UNEMP_INS_CHG">Data!$CF$217</definedName>
    <definedName name="ADAA051900col_WORKERS_COMP">Data!$BJ$217</definedName>
    <definedName name="ADAA051900col_WORKERS_COMP_BY">Data!$BV$217</definedName>
    <definedName name="ADAA051900col_WORKERS_COMP_CHG">Data!$CH$217</definedName>
    <definedName name="ADAC036500col_1_27TH_PP">Data!$BA$219</definedName>
    <definedName name="ADAC036500col_DHR">Data!$BI$219</definedName>
    <definedName name="ADAC036500col_DHR_BY">Data!$BU$219</definedName>
    <definedName name="ADAC036500col_DHR_CHG">Data!$CG$219</definedName>
    <definedName name="ADAC036500col_FTI_SALARY_ELECT">Data!$AZ$219</definedName>
    <definedName name="ADAC036500col_FTI_SALARY_PERM">Data!$AY$219</definedName>
    <definedName name="ADAC036500col_FTI_SALARY_SSDI">Data!$AX$219</definedName>
    <definedName name="ADAC036500col_Group_Ben">Data!$CM$219</definedName>
    <definedName name="ADAC036500col_Group_Salary">Data!$CL$219</definedName>
    <definedName name="ADAC036500col_HEALTH_ELECT">Data!$BC$219</definedName>
    <definedName name="ADAC036500col_HEALTH_ELECT_BY">Data!$BO$219</definedName>
    <definedName name="ADAC036500col_HEALTH_ELECT_CHG">Data!$CA$219</definedName>
    <definedName name="ADAC036500col_HEALTH_PERM">Data!$BB$219</definedName>
    <definedName name="ADAC036500col_HEALTH_PERM_BY">Data!$BN$219</definedName>
    <definedName name="ADAC036500col_HEALTH_PERM_CHG">Data!$BZ$219</definedName>
    <definedName name="ADAC036500col_INC_FTI">Data!$AS$219</definedName>
    <definedName name="ADAC036500col_LIFE_INS">Data!$BG$219</definedName>
    <definedName name="ADAC036500col_LIFE_INS_BY">Data!$BS$219</definedName>
    <definedName name="ADAC036500col_LIFE_INS_CHG">Data!$CE$219</definedName>
    <definedName name="ADAC036500col_RETIREMENT">Data!$BF$219</definedName>
    <definedName name="ADAC036500col_RETIREMENT_BY">Data!$BR$219</definedName>
    <definedName name="ADAC036500col_RETIREMENT_CHG">Data!$CD$219</definedName>
    <definedName name="ADAC036500col_ROWS_PER_PCN">Data!$AW$219</definedName>
    <definedName name="ADAC036500col_SICK">Data!$BK$219</definedName>
    <definedName name="ADAC036500col_SICK_BY">Data!$BW$219</definedName>
    <definedName name="ADAC036500col_SICK_CHG">Data!$CI$219</definedName>
    <definedName name="ADAC036500col_SSDI">Data!$BD$219</definedName>
    <definedName name="ADAC036500col_SSDI_BY">Data!$BP$219</definedName>
    <definedName name="ADAC036500col_SSDI_CHG">Data!$CB$219</definedName>
    <definedName name="ADAC036500col_SSHI">Data!$BE$219</definedName>
    <definedName name="ADAC036500col_SSHI_BY">Data!$BQ$219</definedName>
    <definedName name="ADAC036500col_SSHI_CHGv">Data!$CC$219</definedName>
    <definedName name="ADAC036500col_TOT_VB_ELECT">Data!$BM$219</definedName>
    <definedName name="ADAC036500col_TOT_VB_ELECT_BY">Data!$BY$219</definedName>
    <definedName name="ADAC036500col_TOT_VB_ELECT_CHG">Data!$CK$219</definedName>
    <definedName name="ADAC036500col_TOT_VB_PERM">Data!$BL$219</definedName>
    <definedName name="ADAC036500col_TOT_VB_PERM_BY">Data!$BX$219</definedName>
    <definedName name="ADAC036500col_TOT_VB_PERM_CHG">Data!$CJ$219</definedName>
    <definedName name="ADAC036500col_TOTAL_ELECT_PCN_FTI">Data!$AT$219</definedName>
    <definedName name="ADAC036500col_TOTAL_ELECT_PCN_FTI_ALT">Data!$AV$219</definedName>
    <definedName name="ADAC036500col_TOTAL_PERM_PCN_FTI">Data!$AU$219</definedName>
    <definedName name="ADAC036500col_UNEMP_INS">Data!$BH$219</definedName>
    <definedName name="ADAC036500col_UNEMP_INS_BY">Data!$BT$219</definedName>
    <definedName name="ADAC036500col_UNEMP_INS_CHG">Data!$CF$219</definedName>
    <definedName name="ADAC036500col_WORKERS_COMP">Data!$BJ$219</definedName>
    <definedName name="ADAC036500col_WORKERS_COMP_BY">Data!$BV$219</definedName>
    <definedName name="ADAC036500col_WORKERS_COMP_CHG">Data!$CH$219</definedName>
    <definedName name="ADAC045000col_1_27TH_PP">Data!$BA$222</definedName>
    <definedName name="ADAC045000col_DHR">Data!$BI$222</definedName>
    <definedName name="ADAC045000col_DHR_BY">Data!$BU$222</definedName>
    <definedName name="ADAC045000col_DHR_CHG">Data!$CG$222</definedName>
    <definedName name="ADAC045000col_FTI_SALARY_ELECT">Data!$AZ$222</definedName>
    <definedName name="ADAC045000col_FTI_SALARY_PERM">Data!$AY$222</definedName>
    <definedName name="ADAC045000col_FTI_SALARY_SSDI">Data!$AX$222</definedName>
    <definedName name="ADAC045000col_Group_Ben">Data!$CM$222</definedName>
    <definedName name="ADAC045000col_Group_Salary">Data!$CL$222</definedName>
    <definedName name="ADAC045000col_HEALTH_ELECT">Data!$BC$222</definedName>
    <definedName name="ADAC045000col_HEALTH_ELECT_BY">Data!$BO$222</definedName>
    <definedName name="ADAC045000col_HEALTH_ELECT_CHG">Data!$CA$222</definedName>
    <definedName name="ADAC045000col_HEALTH_PERM">Data!$BB$222</definedName>
    <definedName name="ADAC045000col_HEALTH_PERM_BY">Data!$BN$222</definedName>
    <definedName name="ADAC045000col_HEALTH_PERM_CHG">Data!$BZ$222</definedName>
    <definedName name="ADAC045000col_INC_FTI">Data!$AS$222</definedName>
    <definedName name="ADAC045000col_LIFE_INS">Data!$BG$222</definedName>
    <definedName name="ADAC045000col_LIFE_INS_BY">Data!$BS$222</definedName>
    <definedName name="ADAC045000col_LIFE_INS_CHG">Data!$CE$222</definedName>
    <definedName name="ADAC045000col_RETIREMENT">Data!$BF$222</definedName>
    <definedName name="ADAC045000col_RETIREMENT_BY">Data!$BR$222</definedName>
    <definedName name="ADAC045000col_RETIREMENT_CHG">Data!$CD$222</definedName>
    <definedName name="ADAC045000col_ROWS_PER_PCN">Data!$AW$222</definedName>
    <definedName name="ADAC045000col_SICK">Data!$BK$222</definedName>
    <definedName name="ADAC045000col_SICK_BY">Data!$BW$222</definedName>
    <definedName name="ADAC045000col_SICK_CHG">Data!$CI$222</definedName>
    <definedName name="ADAC045000col_SSDI">Data!$BD$222</definedName>
    <definedName name="ADAC045000col_SSDI_BY">Data!$BP$222</definedName>
    <definedName name="ADAC045000col_SSDI_CHG">Data!$CB$222</definedName>
    <definedName name="ADAC045000col_SSHI">Data!$BE$222</definedName>
    <definedName name="ADAC045000col_SSHI_BY">Data!$BQ$222</definedName>
    <definedName name="ADAC045000col_SSHI_CHGv">Data!$CC$222</definedName>
    <definedName name="ADAC045000col_TOT_VB_ELECT">Data!$BM$222</definedName>
    <definedName name="ADAC045000col_TOT_VB_ELECT_BY">Data!$BY$222</definedName>
    <definedName name="ADAC045000col_TOT_VB_ELECT_CHG">Data!$CK$222</definedName>
    <definedName name="ADAC045000col_TOT_VB_PERM">Data!$BL$222</definedName>
    <definedName name="ADAC045000col_TOT_VB_PERM_BY">Data!$BX$222</definedName>
    <definedName name="ADAC045000col_TOT_VB_PERM_CHG">Data!$CJ$222</definedName>
    <definedName name="ADAC045000col_TOTAL_ELECT_PCN_FTI">Data!$AT$222</definedName>
    <definedName name="ADAC045000col_TOTAL_ELECT_PCN_FTI_ALT">Data!$AV$222</definedName>
    <definedName name="ADAC045000col_TOTAL_PERM_PCN_FTI">Data!$AU$222</definedName>
    <definedName name="ADAC045000col_UNEMP_INS">Data!$BH$222</definedName>
    <definedName name="ADAC045000col_UNEMP_INS_BY">Data!$BT$222</definedName>
    <definedName name="ADAC045000col_UNEMP_INS_CHG">Data!$CF$222</definedName>
    <definedName name="ADAC045000col_WORKERS_COMP">Data!$BJ$222</definedName>
    <definedName name="ADAC045000col_WORKERS_COMP_BY">Data!$BV$222</definedName>
    <definedName name="ADAC045000col_WORKERS_COMP_CHG">Data!$CH$222</definedName>
    <definedName name="ADAD000100col_1_27TH_PP">Data!$BA$224</definedName>
    <definedName name="ADAD000100col_DHR">Data!$BI$224</definedName>
    <definedName name="ADAD000100col_DHR_BY">Data!$BU$224</definedName>
    <definedName name="ADAD000100col_DHR_CHG">Data!$CG$224</definedName>
    <definedName name="ADAD000100col_FTI_SALARY_ELECT">Data!$AZ$224</definedName>
    <definedName name="ADAD000100col_FTI_SALARY_PERM">Data!$AY$224</definedName>
    <definedName name="ADAD000100col_FTI_SALARY_SSDI">Data!$AX$224</definedName>
    <definedName name="ADAD000100col_Group_Ben">Data!$CM$224</definedName>
    <definedName name="ADAD000100col_Group_Salary">Data!$CL$224</definedName>
    <definedName name="ADAD000100col_HEALTH_ELECT">Data!$BC$224</definedName>
    <definedName name="ADAD000100col_HEALTH_ELECT_BY">Data!$BO$224</definedName>
    <definedName name="ADAD000100col_HEALTH_ELECT_CHG">Data!$CA$224</definedName>
    <definedName name="ADAD000100col_HEALTH_PERM">Data!$BB$224</definedName>
    <definedName name="ADAD000100col_HEALTH_PERM_BY">Data!$BN$224</definedName>
    <definedName name="ADAD000100col_HEALTH_PERM_CHG">Data!$BZ$224</definedName>
    <definedName name="ADAD000100col_INC_FTI">Data!$AS$224</definedName>
    <definedName name="ADAD000100col_LIFE_INS">Data!$BG$224</definedName>
    <definedName name="ADAD000100col_LIFE_INS_BY">Data!$BS$224</definedName>
    <definedName name="ADAD000100col_LIFE_INS_CHG">Data!$CE$224</definedName>
    <definedName name="ADAD000100col_RETIREMENT">Data!$BF$224</definedName>
    <definedName name="ADAD000100col_RETIREMENT_BY">Data!$BR$224</definedName>
    <definedName name="ADAD000100col_RETIREMENT_CHG">Data!$CD$224</definedName>
    <definedName name="ADAD000100col_ROWS_PER_PCN">Data!$AW$224</definedName>
    <definedName name="ADAD000100col_SICK">Data!$BK$224</definedName>
    <definedName name="ADAD000100col_SICK_BY">Data!$BW$224</definedName>
    <definedName name="ADAD000100col_SICK_CHG">Data!$CI$224</definedName>
    <definedName name="ADAD000100col_SSDI">Data!$BD$224</definedName>
    <definedName name="ADAD000100col_SSDI_BY">Data!$BP$224</definedName>
    <definedName name="ADAD000100col_SSDI_CHG">Data!$CB$224</definedName>
    <definedName name="ADAD000100col_SSHI">Data!$BE$224</definedName>
    <definedName name="ADAD000100col_SSHI_BY">Data!$BQ$224</definedName>
    <definedName name="ADAD000100col_SSHI_CHGv">Data!$CC$224</definedName>
    <definedName name="ADAD000100col_TOT_VB_ELECT">Data!$BM$224</definedName>
    <definedName name="ADAD000100col_TOT_VB_ELECT_BY">Data!$BY$224</definedName>
    <definedName name="ADAD000100col_TOT_VB_ELECT_CHG">Data!$CK$224</definedName>
    <definedName name="ADAD000100col_TOT_VB_PERM">Data!$BL$224</definedName>
    <definedName name="ADAD000100col_TOT_VB_PERM_BY">Data!$BX$224</definedName>
    <definedName name="ADAD000100col_TOT_VB_PERM_CHG">Data!$CJ$224</definedName>
    <definedName name="ADAD000100col_TOTAL_ELECT_PCN_FTI">Data!$AT$224</definedName>
    <definedName name="ADAD000100col_TOTAL_ELECT_PCN_FTI_ALT">Data!$AV$224</definedName>
    <definedName name="ADAD000100col_TOTAL_PERM_PCN_FTI">Data!$AU$224</definedName>
    <definedName name="ADAD000100col_UNEMP_INS">Data!$BH$224</definedName>
    <definedName name="ADAD000100col_UNEMP_INS_BY">Data!$BT$224</definedName>
    <definedName name="ADAD000100col_UNEMP_INS_CHG">Data!$CF$224</definedName>
    <definedName name="ADAD000100col_WORKERS_COMP">Data!$BJ$224</definedName>
    <definedName name="ADAD000100col_WORKERS_COMP_BY">Data!$BV$224</definedName>
    <definedName name="ADAD000100col_WORKERS_COMP_CHG">Data!$CH$224</definedName>
    <definedName name="ADAD045000col_1_27TH_PP">Data!$BA$228</definedName>
    <definedName name="ADAD045000col_DHR">Data!$BI$228</definedName>
    <definedName name="ADAD045000col_DHR_BY">Data!$BU$228</definedName>
    <definedName name="ADAD045000col_DHR_CHG">Data!$CG$228</definedName>
    <definedName name="ADAD045000col_FTI_SALARY_ELECT">Data!$AZ$228</definedName>
    <definedName name="ADAD045000col_FTI_SALARY_PERM">Data!$AY$228</definedName>
    <definedName name="ADAD045000col_FTI_SALARY_SSDI">Data!$AX$228</definedName>
    <definedName name="ADAD045000col_Group_Ben">Data!$CM$228</definedName>
    <definedName name="ADAD045000col_Group_Salary">Data!$CL$228</definedName>
    <definedName name="ADAD045000col_HEALTH_ELECT">Data!$BC$228</definedName>
    <definedName name="ADAD045000col_HEALTH_ELECT_BY">Data!$BO$228</definedName>
    <definedName name="ADAD045000col_HEALTH_ELECT_CHG">Data!$CA$228</definedName>
    <definedName name="ADAD045000col_HEALTH_PERM">Data!$BB$228</definedName>
    <definedName name="ADAD045000col_HEALTH_PERM_BY">Data!$BN$228</definedName>
    <definedName name="ADAD045000col_HEALTH_PERM_CHG">Data!$BZ$228</definedName>
    <definedName name="ADAD045000col_INC_FTI">Data!$AS$228</definedName>
    <definedName name="ADAD045000col_LIFE_INS">Data!$BG$228</definedName>
    <definedName name="ADAD045000col_LIFE_INS_BY">Data!$BS$228</definedName>
    <definedName name="ADAD045000col_LIFE_INS_CHG">Data!$CE$228</definedName>
    <definedName name="ADAD045000col_RETIREMENT">Data!$BF$228</definedName>
    <definedName name="ADAD045000col_RETIREMENT_BY">Data!$BR$228</definedName>
    <definedName name="ADAD045000col_RETIREMENT_CHG">Data!$CD$228</definedName>
    <definedName name="ADAD045000col_ROWS_PER_PCN">Data!$AW$228</definedName>
    <definedName name="ADAD045000col_SICK">Data!$BK$228</definedName>
    <definedName name="ADAD045000col_SICK_BY">Data!$BW$228</definedName>
    <definedName name="ADAD045000col_SICK_CHG">Data!$CI$228</definedName>
    <definedName name="ADAD045000col_SSDI">Data!$BD$228</definedName>
    <definedName name="ADAD045000col_SSDI_BY">Data!$BP$228</definedName>
    <definedName name="ADAD045000col_SSDI_CHG">Data!$CB$228</definedName>
    <definedName name="ADAD045000col_SSHI">Data!$BE$228</definedName>
    <definedName name="ADAD045000col_SSHI_BY">Data!$BQ$228</definedName>
    <definedName name="ADAD045000col_SSHI_CHGv">Data!$CC$228</definedName>
    <definedName name="ADAD045000col_TOT_VB_ELECT">Data!$BM$228</definedName>
    <definedName name="ADAD045000col_TOT_VB_ELECT_BY">Data!$BY$228</definedName>
    <definedName name="ADAD045000col_TOT_VB_ELECT_CHG">Data!$CK$228</definedName>
    <definedName name="ADAD045000col_TOT_VB_PERM">Data!$BL$228</definedName>
    <definedName name="ADAD045000col_TOT_VB_PERM_BY">Data!$BX$228</definedName>
    <definedName name="ADAD045000col_TOT_VB_PERM_CHG">Data!$CJ$228</definedName>
    <definedName name="ADAD045000col_TOTAL_ELECT_PCN_FTI">Data!$AT$228</definedName>
    <definedName name="ADAD045000col_TOTAL_ELECT_PCN_FTI_ALT">Data!$AV$228</definedName>
    <definedName name="ADAD045000col_TOTAL_PERM_PCN_FTI">Data!$AU$228</definedName>
    <definedName name="ADAD045000col_UNEMP_INS">Data!$BH$228</definedName>
    <definedName name="ADAD045000col_UNEMP_INS_BY">Data!$BT$228</definedName>
    <definedName name="ADAD045000col_UNEMP_INS_CHG">Data!$CF$228</definedName>
    <definedName name="ADAD045000col_WORKERS_COMP">Data!$BJ$228</definedName>
    <definedName name="ADAD045000col_WORKERS_COMP_BY">Data!$BV$228</definedName>
    <definedName name="ADAD045000col_WORKERS_COMP_CHG">Data!$CH$228</definedName>
    <definedName name="ADAD045600col_1_27TH_PP">Data!$BA$230</definedName>
    <definedName name="ADAD045600col_DHR">Data!$BI$230</definedName>
    <definedName name="ADAD045600col_DHR_BY">Data!$BU$230</definedName>
    <definedName name="ADAD045600col_DHR_CHG">Data!$CG$230</definedName>
    <definedName name="ADAD045600col_FTI_SALARY_ELECT">Data!$AZ$230</definedName>
    <definedName name="ADAD045600col_FTI_SALARY_PERM">Data!$AY$230</definedName>
    <definedName name="ADAD045600col_FTI_SALARY_SSDI">Data!$AX$230</definedName>
    <definedName name="ADAD045600col_Group_Ben">Data!$CM$230</definedName>
    <definedName name="ADAD045600col_Group_Salary">Data!$CL$230</definedName>
    <definedName name="ADAD045600col_HEALTH_ELECT">Data!$BC$230</definedName>
    <definedName name="ADAD045600col_HEALTH_ELECT_BY">Data!$BO$230</definedName>
    <definedName name="ADAD045600col_HEALTH_ELECT_CHG">Data!$CA$230</definedName>
    <definedName name="ADAD045600col_HEALTH_PERM">Data!$BB$230</definedName>
    <definedName name="ADAD045600col_HEALTH_PERM_BY">Data!$BN$230</definedName>
    <definedName name="ADAD045600col_HEALTH_PERM_CHG">Data!$BZ$230</definedName>
    <definedName name="ADAD045600col_INC_FTI">Data!$AS$230</definedName>
    <definedName name="ADAD045600col_LIFE_INS">Data!$BG$230</definedName>
    <definedName name="ADAD045600col_LIFE_INS_BY">Data!$BS$230</definedName>
    <definedName name="ADAD045600col_LIFE_INS_CHG">Data!$CE$230</definedName>
    <definedName name="ADAD045600col_RETIREMENT">Data!$BF$230</definedName>
    <definedName name="ADAD045600col_RETIREMENT_BY">Data!$BR$230</definedName>
    <definedName name="ADAD045600col_RETIREMENT_CHG">Data!$CD$230</definedName>
    <definedName name="ADAD045600col_ROWS_PER_PCN">Data!$AW$230</definedName>
    <definedName name="ADAD045600col_SICK">Data!$BK$230</definedName>
    <definedName name="ADAD045600col_SICK_BY">Data!$BW$230</definedName>
    <definedName name="ADAD045600col_SICK_CHG">Data!$CI$230</definedName>
    <definedName name="ADAD045600col_SSDI">Data!$BD$230</definedName>
    <definedName name="ADAD045600col_SSDI_BY">Data!$BP$230</definedName>
    <definedName name="ADAD045600col_SSDI_CHG">Data!$CB$230</definedName>
    <definedName name="ADAD045600col_SSHI">Data!$BE$230</definedName>
    <definedName name="ADAD045600col_SSHI_BY">Data!$BQ$230</definedName>
    <definedName name="ADAD045600col_SSHI_CHGv">Data!$CC$230</definedName>
    <definedName name="ADAD045600col_TOT_VB_ELECT">Data!$BM$230</definedName>
    <definedName name="ADAD045600col_TOT_VB_ELECT_BY">Data!$BY$230</definedName>
    <definedName name="ADAD045600col_TOT_VB_ELECT_CHG">Data!$CK$230</definedName>
    <definedName name="ADAD045600col_TOT_VB_PERM">Data!$BL$230</definedName>
    <definedName name="ADAD045600col_TOT_VB_PERM_BY">Data!$BX$230</definedName>
    <definedName name="ADAD045600col_TOT_VB_PERM_CHG">Data!$CJ$230</definedName>
    <definedName name="ADAD045600col_TOTAL_ELECT_PCN_FTI">Data!$AT$230</definedName>
    <definedName name="ADAD045600col_TOTAL_ELECT_PCN_FTI_ALT">Data!$AV$230</definedName>
    <definedName name="ADAD045600col_TOTAL_PERM_PCN_FTI">Data!$AU$230</definedName>
    <definedName name="ADAD045600col_UNEMP_INS">Data!$BH$230</definedName>
    <definedName name="ADAD045600col_UNEMP_INS_BY">Data!$BT$230</definedName>
    <definedName name="ADAD045600col_UNEMP_INS_CHG">Data!$CF$230</definedName>
    <definedName name="ADAD045600col_WORKERS_COMP">Data!$BJ$230</definedName>
    <definedName name="ADAD045600col_WORKERS_COMP_BY">Data!$BV$230</definedName>
    <definedName name="ADAD045600col_WORKERS_COMP_CHG">Data!$CH$230</definedName>
    <definedName name="ADAF051900col_1_27TH_PP">Data!$BA$232</definedName>
    <definedName name="ADAF051900col_DHR">Data!$BI$232</definedName>
    <definedName name="ADAF051900col_DHR_BY">Data!$BU$232</definedName>
    <definedName name="ADAF051900col_DHR_CHG">Data!$CG$232</definedName>
    <definedName name="ADAF051900col_FTI_SALARY_ELECT">Data!$AZ$232</definedName>
    <definedName name="ADAF051900col_FTI_SALARY_PERM">Data!$AY$232</definedName>
    <definedName name="ADAF051900col_FTI_SALARY_SSDI">Data!$AX$232</definedName>
    <definedName name="ADAF051900col_Group_Ben">Data!$CM$232</definedName>
    <definedName name="ADAF051900col_Group_Salary">Data!$CL$232</definedName>
    <definedName name="ADAF051900col_HEALTH_ELECT">Data!$BC$232</definedName>
    <definedName name="ADAF051900col_HEALTH_ELECT_BY">Data!$BO$232</definedName>
    <definedName name="ADAF051900col_HEALTH_ELECT_CHG">Data!$CA$232</definedName>
    <definedName name="ADAF051900col_HEALTH_PERM">Data!$BB$232</definedName>
    <definedName name="ADAF051900col_HEALTH_PERM_BY">Data!$BN$232</definedName>
    <definedName name="ADAF051900col_HEALTH_PERM_CHG">Data!$BZ$232</definedName>
    <definedName name="ADAF051900col_INC_FTI">Data!$AS$232</definedName>
    <definedName name="ADAF051900col_LIFE_INS">Data!$BG$232</definedName>
    <definedName name="ADAF051900col_LIFE_INS_BY">Data!$BS$232</definedName>
    <definedName name="ADAF051900col_LIFE_INS_CHG">Data!$CE$232</definedName>
    <definedName name="ADAF051900col_RETIREMENT">Data!$BF$232</definedName>
    <definedName name="ADAF051900col_RETIREMENT_BY">Data!$BR$232</definedName>
    <definedName name="ADAF051900col_RETIREMENT_CHG">Data!$CD$232</definedName>
    <definedName name="ADAF051900col_ROWS_PER_PCN">Data!$AW$232</definedName>
    <definedName name="ADAF051900col_SICK">Data!$BK$232</definedName>
    <definedName name="ADAF051900col_SICK_BY">Data!$BW$232</definedName>
    <definedName name="ADAF051900col_SICK_CHG">Data!$CI$232</definedName>
    <definedName name="ADAF051900col_SSDI">Data!$BD$232</definedName>
    <definedName name="ADAF051900col_SSDI_BY">Data!$BP$232</definedName>
    <definedName name="ADAF051900col_SSDI_CHG">Data!$CB$232</definedName>
    <definedName name="ADAF051900col_SSHI">Data!$BE$232</definedName>
    <definedName name="ADAF051900col_SSHI_BY">Data!$BQ$232</definedName>
    <definedName name="ADAF051900col_SSHI_CHGv">Data!$CC$232</definedName>
    <definedName name="ADAF051900col_TOT_VB_ELECT">Data!$BM$232</definedName>
    <definedName name="ADAF051900col_TOT_VB_ELECT_BY">Data!$BY$232</definedName>
    <definedName name="ADAF051900col_TOT_VB_ELECT_CHG">Data!$CK$232</definedName>
    <definedName name="ADAF051900col_TOT_VB_PERM">Data!$BL$232</definedName>
    <definedName name="ADAF051900col_TOT_VB_PERM_BY">Data!$BX$232</definedName>
    <definedName name="ADAF051900col_TOT_VB_PERM_CHG">Data!$CJ$232</definedName>
    <definedName name="ADAF051900col_TOTAL_ELECT_PCN_FTI">Data!$AT$232</definedName>
    <definedName name="ADAF051900col_TOTAL_ELECT_PCN_FTI_ALT">Data!$AV$232</definedName>
    <definedName name="ADAF051900col_TOTAL_PERM_PCN_FTI">Data!$AU$232</definedName>
    <definedName name="ADAF051900col_UNEMP_INS">Data!$BH$232</definedName>
    <definedName name="ADAF051900col_UNEMP_INS_BY">Data!$BT$232</definedName>
    <definedName name="ADAF051900col_UNEMP_INS_CHG">Data!$CF$232</definedName>
    <definedName name="ADAF051900col_WORKERS_COMP">Data!$BJ$232</definedName>
    <definedName name="ADAF051900col_WORKERS_COMP_BY">Data!$BV$232</definedName>
    <definedName name="ADAF051900col_WORKERS_COMP_CHG">Data!$CH$232</definedName>
    <definedName name="ADAH045000col_1_27TH_PP">Data!$BA$234</definedName>
    <definedName name="ADAH045000col_DHR">Data!$BI$234</definedName>
    <definedName name="ADAH045000col_DHR_BY">Data!$BU$234</definedName>
    <definedName name="ADAH045000col_DHR_CHG">Data!$CG$234</definedName>
    <definedName name="ADAH045000col_FTI_SALARY_ELECT">Data!$AZ$234</definedName>
    <definedName name="ADAH045000col_FTI_SALARY_PERM">Data!$AY$234</definedName>
    <definedName name="ADAH045000col_FTI_SALARY_SSDI">Data!$AX$234</definedName>
    <definedName name="ADAH045000col_Group_Ben">Data!$CM$234</definedName>
    <definedName name="ADAH045000col_Group_Salary">Data!$CL$234</definedName>
    <definedName name="ADAH045000col_HEALTH_ELECT">Data!$BC$234</definedName>
    <definedName name="ADAH045000col_HEALTH_ELECT_BY">Data!$BO$234</definedName>
    <definedName name="ADAH045000col_HEALTH_ELECT_CHG">Data!$CA$234</definedName>
    <definedName name="ADAH045000col_HEALTH_PERM">Data!$BB$234</definedName>
    <definedName name="ADAH045000col_HEALTH_PERM_BY">Data!$BN$234</definedName>
    <definedName name="ADAH045000col_HEALTH_PERM_CHG">Data!$BZ$234</definedName>
    <definedName name="ADAH045000col_INC_FTI">Data!$AS$234</definedName>
    <definedName name="ADAH045000col_LIFE_INS">Data!$BG$234</definedName>
    <definedName name="ADAH045000col_LIFE_INS_BY">Data!$BS$234</definedName>
    <definedName name="ADAH045000col_LIFE_INS_CHG">Data!$CE$234</definedName>
    <definedName name="ADAH045000col_RETIREMENT">Data!$BF$234</definedName>
    <definedName name="ADAH045000col_RETIREMENT_BY">Data!$BR$234</definedName>
    <definedName name="ADAH045000col_RETIREMENT_CHG">Data!$CD$234</definedName>
    <definedName name="ADAH045000col_ROWS_PER_PCN">Data!$AW$234</definedName>
    <definedName name="ADAH045000col_SICK">Data!$BK$234</definedName>
    <definedName name="ADAH045000col_SICK_BY">Data!$BW$234</definedName>
    <definedName name="ADAH045000col_SICK_CHG">Data!$CI$234</definedName>
    <definedName name="ADAH045000col_SSDI">Data!$BD$234</definedName>
    <definedName name="ADAH045000col_SSDI_BY">Data!$BP$234</definedName>
    <definedName name="ADAH045000col_SSDI_CHG">Data!$CB$234</definedName>
    <definedName name="ADAH045000col_SSHI">Data!$BE$234</definedName>
    <definedName name="ADAH045000col_SSHI_BY">Data!$BQ$234</definedName>
    <definedName name="ADAH045000col_SSHI_CHGv">Data!$CC$234</definedName>
    <definedName name="ADAH045000col_TOT_VB_ELECT">Data!$BM$234</definedName>
    <definedName name="ADAH045000col_TOT_VB_ELECT_BY">Data!$BY$234</definedName>
    <definedName name="ADAH045000col_TOT_VB_ELECT_CHG">Data!$CK$234</definedName>
    <definedName name="ADAH045000col_TOT_VB_PERM">Data!$BL$234</definedName>
    <definedName name="ADAH045000col_TOT_VB_PERM_BY">Data!$BX$234</definedName>
    <definedName name="ADAH045000col_TOT_VB_PERM_CHG">Data!$CJ$234</definedName>
    <definedName name="ADAH045000col_TOTAL_ELECT_PCN_FTI">Data!$AT$234</definedName>
    <definedName name="ADAH045000col_TOTAL_ELECT_PCN_FTI_ALT">Data!$AV$234</definedName>
    <definedName name="ADAH045000col_TOTAL_PERM_PCN_FTI">Data!$AU$234</definedName>
    <definedName name="ADAH045000col_UNEMP_INS">Data!$BH$234</definedName>
    <definedName name="ADAH045000col_UNEMP_INS_BY">Data!$BT$234</definedName>
    <definedName name="ADAH045000col_UNEMP_INS_CHG">Data!$CF$234</definedName>
    <definedName name="ADAH045000col_WORKERS_COMP">Data!$BJ$234</definedName>
    <definedName name="ADAH045000col_WORKERS_COMP_BY">Data!$BV$234</definedName>
    <definedName name="ADAH045000col_WORKERS_COMP_CHG">Data!$CH$234</definedName>
    <definedName name="ADAI046100col_1_27TH_PP">Data!$BA$236</definedName>
    <definedName name="ADAI046100col_DHR">Data!$BI$236</definedName>
    <definedName name="ADAI046100col_DHR_BY">Data!$BU$236</definedName>
    <definedName name="ADAI046100col_DHR_CHG">Data!$CG$236</definedName>
    <definedName name="ADAI046100col_FTI_SALARY_ELECT">Data!$AZ$236</definedName>
    <definedName name="ADAI046100col_FTI_SALARY_PERM">Data!$AY$236</definedName>
    <definedName name="ADAI046100col_FTI_SALARY_SSDI">Data!$AX$236</definedName>
    <definedName name="ADAI046100col_Group_Ben">Data!$CM$236</definedName>
    <definedName name="ADAI046100col_Group_Salary">Data!$CL$236</definedName>
    <definedName name="ADAI046100col_HEALTH_ELECT">Data!$BC$236</definedName>
    <definedName name="ADAI046100col_HEALTH_ELECT_BY">Data!$BO$236</definedName>
    <definedName name="ADAI046100col_HEALTH_ELECT_CHG">Data!$CA$236</definedName>
    <definedName name="ADAI046100col_HEALTH_PERM">Data!$BB$236</definedName>
    <definedName name="ADAI046100col_HEALTH_PERM_BY">Data!$BN$236</definedName>
    <definedName name="ADAI046100col_HEALTH_PERM_CHG">Data!$BZ$236</definedName>
    <definedName name="ADAI046100col_INC_FTI">Data!$AS$236</definedName>
    <definedName name="ADAI046100col_LIFE_INS">Data!$BG$236</definedName>
    <definedName name="ADAI046100col_LIFE_INS_BY">Data!$BS$236</definedName>
    <definedName name="ADAI046100col_LIFE_INS_CHG">Data!$CE$236</definedName>
    <definedName name="ADAI046100col_RETIREMENT">Data!$BF$236</definedName>
    <definedName name="ADAI046100col_RETIREMENT_BY">Data!$BR$236</definedName>
    <definedName name="ADAI046100col_RETIREMENT_CHG">Data!$CD$236</definedName>
    <definedName name="ADAI046100col_ROWS_PER_PCN">Data!$AW$236</definedName>
    <definedName name="ADAI046100col_SICK">Data!$BK$236</definedName>
    <definedName name="ADAI046100col_SICK_BY">Data!$BW$236</definedName>
    <definedName name="ADAI046100col_SICK_CHG">Data!$CI$236</definedName>
    <definedName name="ADAI046100col_SSDI">Data!$BD$236</definedName>
    <definedName name="ADAI046100col_SSDI_BY">Data!$BP$236</definedName>
    <definedName name="ADAI046100col_SSDI_CHG">Data!$CB$236</definedName>
    <definedName name="ADAI046100col_SSHI">Data!$BE$236</definedName>
    <definedName name="ADAI046100col_SSHI_BY">Data!$BQ$236</definedName>
    <definedName name="ADAI046100col_SSHI_CHGv">Data!$CC$236</definedName>
    <definedName name="ADAI046100col_TOT_VB_ELECT">Data!$BM$236</definedName>
    <definedName name="ADAI046100col_TOT_VB_ELECT_BY">Data!$BY$236</definedName>
    <definedName name="ADAI046100col_TOT_VB_ELECT_CHG">Data!$CK$236</definedName>
    <definedName name="ADAI046100col_TOT_VB_PERM">Data!$BL$236</definedName>
    <definedName name="ADAI046100col_TOT_VB_PERM_BY">Data!$BX$236</definedName>
    <definedName name="ADAI046100col_TOT_VB_PERM_CHG">Data!$CJ$236</definedName>
    <definedName name="ADAI046100col_TOTAL_ELECT_PCN_FTI">Data!$AT$236</definedName>
    <definedName name="ADAI046100col_TOTAL_ELECT_PCN_FTI_ALT">Data!$AV$236</definedName>
    <definedName name="ADAI046100col_TOTAL_PERM_PCN_FTI">Data!$AU$236</definedName>
    <definedName name="ADAI046100col_UNEMP_INS">Data!$BH$236</definedName>
    <definedName name="ADAI046100col_UNEMP_INS_BY">Data!$BT$236</definedName>
    <definedName name="ADAI046100col_UNEMP_INS_CHG">Data!$CF$236</definedName>
    <definedName name="ADAI046100col_WORKERS_COMP">Data!$BJ$236</definedName>
    <definedName name="ADAI046100col_WORKERS_COMP_BY">Data!$BV$236</definedName>
    <definedName name="ADAI046100col_WORKERS_COMP_CHG">Data!$CH$236</definedName>
    <definedName name="ADAI046200col_1_27TH_PP">Data!$BA$238</definedName>
    <definedName name="ADAI046200col_DHR">Data!$BI$238</definedName>
    <definedName name="ADAI046200col_DHR_BY">Data!$BU$238</definedName>
    <definedName name="ADAI046200col_DHR_CHG">Data!$CG$238</definedName>
    <definedName name="ADAI046200col_FTI_SALARY_ELECT">Data!$AZ$238</definedName>
    <definedName name="ADAI046200col_FTI_SALARY_PERM">Data!$AY$238</definedName>
    <definedName name="ADAI046200col_FTI_SALARY_SSDI">Data!$AX$238</definedName>
    <definedName name="ADAI046200col_Group_Ben">Data!$CM$238</definedName>
    <definedName name="ADAI046200col_Group_Salary">Data!$CL$238</definedName>
    <definedName name="ADAI046200col_HEALTH_ELECT">Data!$BC$238</definedName>
    <definedName name="ADAI046200col_HEALTH_ELECT_BY">Data!$BO$238</definedName>
    <definedName name="ADAI046200col_HEALTH_ELECT_CHG">Data!$CA$238</definedName>
    <definedName name="ADAI046200col_HEALTH_PERM">Data!$BB$238</definedName>
    <definedName name="ADAI046200col_HEALTH_PERM_BY">Data!$BN$238</definedName>
    <definedName name="ADAI046200col_HEALTH_PERM_CHG">Data!$BZ$238</definedName>
    <definedName name="ADAI046200col_INC_FTI">Data!$AS$238</definedName>
    <definedName name="ADAI046200col_LIFE_INS">Data!$BG$238</definedName>
    <definedName name="ADAI046200col_LIFE_INS_BY">Data!$BS$238</definedName>
    <definedName name="ADAI046200col_LIFE_INS_CHG">Data!$CE$238</definedName>
    <definedName name="ADAI046200col_RETIREMENT">Data!$BF$238</definedName>
    <definedName name="ADAI046200col_RETIREMENT_BY">Data!$BR$238</definedName>
    <definedName name="ADAI046200col_RETIREMENT_CHG">Data!$CD$238</definedName>
    <definedName name="ADAI046200col_ROWS_PER_PCN">Data!$AW$238</definedName>
    <definedName name="ADAI046200col_SICK">Data!$BK$238</definedName>
    <definedName name="ADAI046200col_SICK_BY">Data!$BW$238</definedName>
    <definedName name="ADAI046200col_SICK_CHG">Data!$CI$238</definedName>
    <definedName name="ADAI046200col_SSDI">Data!$BD$238</definedName>
    <definedName name="ADAI046200col_SSDI_BY">Data!$BP$238</definedName>
    <definedName name="ADAI046200col_SSDI_CHG">Data!$CB$238</definedName>
    <definedName name="ADAI046200col_SSHI">Data!$BE$238</definedName>
    <definedName name="ADAI046200col_SSHI_BY">Data!$BQ$238</definedName>
    <definedName name="ADAI046200col_SSHI_CHGv">Data!$CC$238</definedName>
    <definedName name="ADAI046200col_TOT_VB_ELECT">Data!$BM$238</definedName>
    <definedName name="ADAI046200col_TOT_VB_ELECT_BY">Data!$BY$238</definedName>
    <definedName name="ADAI046200col_TOT_VB_ELECT_CHG">Data!$CK$238</definedName>
    <definedName name="ADAI046200col_TOT_VB_PERM">Data!$BL$238</definedName>
    <definedName name="ADAI046200col_TOT_VB_PERM_BY">Data!$BX$238</definedName>
    <definedName name="ADAI046200col_TOT_VB_PERM_CHG">Data!$CJ$238</definedName>
    <definedName name="ADAI046200col_TOTAL_ELECT_PCN_FTI">Data!$AT$238</definedName>
    <definedName name="ADAI046200col_TOTAL_ELECT_PCN_FTI_ALT">Data!$AV$238</definedName>
    <definedName name="ADAI046200col_TOTAL_PERM_PCN_FTI">Data!$AU$238</definedName>
    <definedName name="ADAI046200col_UNEMP_INS">Data!$BH$238</definedName>
    <definedName name="ADAI046200col_UNEMP_INS_BY">Data!$BT$238</definedName>
    <definedName name="ADAI046200col_UNEMP_INS_CHG">Data!$CF$238</definedName>
    <definedName name="ADAI046200col_WORKERS_COMP">Data!$BJ$238</definedName>
    <definedName name="ADAI046200col_WORKERS_COMP_BY">Data!$BV$238</definedName>
    <definedName name="ADAI046200col_WORKERS_COMP_CHG">Data!$CH$238</definedName>
    <definedName name="ADAI051900col_1_27TH_PP">Data!$BA$240</definedName>
    <definedName name="ADAI051900col_DHR">Data!$BI$240</definedName>
    <definedName name="ADAI051900col_DHR_BY">Data!$BU$240</definedName>
    <definedName name="ADAI051900col_DHR_CHG">Data!$CG$240</definedName>
    <definedName name="ADAI051900col_FTI_SALARY_ELECT">Data!$AZ$240</definedName>
    <definedName name="ADAI051900col_FTI_SALARY_PERM">Data!$AY$240</definedName>
    <definedName name="ADAI051900col_FTI_SALARY_SSDI">Data!$AX$240</definedName>
    <definedName name="ADAI051900col_Group_Ben">Data!$CM$240</definedName>
    <definedName name="ADAI051900col_Group_Salary">Data!$CL$240</definedName>
    <definedName name="ADAI051900col_HEALTH_ELECT">Data!$BC$240</definedName>
    <definedName name="ADAI051900col_HEALTH_ELECT_BY">Data!$BO$240</definedName>
    <definedName name="ADAI051900col_HEALTH_ELECT_CHG">Data!$CA$240</definedName>
    <definedName name="ADAI051900col_HEALTH_PERM">Data!$BB$240</definedName>
    <definedName name="ADAI051900col_HEALTH_PERM_BY">Data!$BN$240</definedName>
    <definedName name="ADAI051900col_HEALTH_PERM_CHG">Data!$BZ$240</definedName>
    <definedName name="ADAI051900col_INC_FTI">Data!$AS$240</definedName>
    <definedName name="ADAI051900col_LIFE_INS">Data!$BG$240</definedName>
    <definedName name="ADAI051900col_LIFE_INS_BY">Data!$BS$240</definedName>
    <definedName name="ADAI051900col_LIFE_INS_CHG">Data!$CE$240</definedName>
    <definedName name="ADAI051900col_RETIREMENT">Data!$BF$240</definedName>
    <definedName name="ADAI051900col_RETIREMENT_BY">Data!$BR$240</definedName>
    <definedName name="ADAI051900col_RETIREMENT_CHG">Data!$CD$240</definedName>
    <definedName name="ADAI051900col_ROWS_PER_PCN">Data!$AW$240</definedName>
    <definedName name="ADAI051900col_SICK">Data!$BK$240</definedName>
    <definedName name="ADAI051900col_SICK_BY">Data!$BW$240</definedName>
    <definedName name="ADAI051900col_SICK_CHG">Data!$CI$240</definedName>
    <definedName name="ADAI051900col_SSDI">Data!$BD$240</definedName>
    <definedName name="ADAI051900col_SSDI_BY">Data!$BP$240</definedName>
    <definedName name="ADAI051900col_SSDI_CHG">Data!$CB$240</definedName>
    <definedName name="ADAI051900col_SSHI">Data!$BE$240</definedName>
    <definedName name="ADAI051900col_SSHI_BY">Data!$BQ$240</definedName>
    <definedName name="ADAI051900col_SSHI_CHGv">Data!$CC$240</definedName>
    <definedName name="ADAI051900col_TOT_VB_ELECT">Data!$BM$240</definedName>
    <definedName name="ADAI051900col_TOT_VB_ELECT_BY">Data!$BY$240</definedName>
    <definedName name="ADAI051900col_TOT_VB_ELECT_CHG">Data!$CK$240</definedName>
    <definedName name="ADAI051900col_TOT_VB_PERM">Data!$BL$240</definedName>
    <definedName name="ADAI051900col_TOT_VB_PERM_BY">Data!$BX$240</definedName>
    <definedName name="ADAI051900col_TOT_VB_PERM_CHG">Data!$CJ$240</definedName>
    <definedName name="ADAI051900col_TOTAL_ELECT_PCN_FTI">Data!$AT$240</definedName>
    <definedName name="ADAI051900col_TOTAL_ELECT_PCN_FTI_ALT">Data!$AV$240</definedName>
    <definedName name="ADAI051900col_TOTAL_PERM_PCN_FTI">Data!$AU$240</definedName>
    <definedName name="ADAI051900col_UNEMP_INS">Data!$BH$240</definedName>
    <definedName name="ADAI051900col_UNEMP_INS_BY">Data!$BT$240</definedName>
    <definedName name="ADAI051900col_UNEMP_INS_CHG">Data!$CF$240</definedName>
    <definedName name="ADAI051900col_WORKERS_COMP">Data!$BJ$240</definedName>
    <definedName name="ADAI051900col_WORKERS_COMP_BY">Data!$BV$240</definedName>
    <definedName name="ADAI051900col_WORKERS_COMP_CHG">Data!$CH$240</definedName>
    <definedName name="ADAK046100col_1_27TH_PP">Data!$BA$243</definedName>
    <definedName name="ADAK046100col_DHR">Data!$BI$243</definedName>
    <definedName name="ADAK046100col_DHR_BY">Data!$BU$243</definedName>
    <definedName name="ADAK046100col_DHR_CHG">Data!$CG$243</definedName>
    <definedName name="ADAK046100col_FTI_SALARY_ELECT">Data!$AZ$243</definedName>
    <definedName name="ADAK046100col_FTI_SALARY_PERM">Data!$AY$243</definedName>
    <definedName name="ADAK046100col_FTI_SALARY_SSDI">Data!$AX$243</definedName>
    <definedName name="ADAK046100col_Group_Ben">Data!$CM$243</definedName>
    <definedName name="ADAK046100col_Group_Salary">Data!$CL$243</definedName>
    <definedName name="ADAK046100col_HEALTH_ELECT">Data!$BC$243</definedName>
    <definedName name="ADAK046100col_HEALTH_ELECT_BY">Data!$BO$243</definedName>
    <definedName name="ADAK046100col_HEALTH_ELECT_CHG">Data!$CA$243</definedName>
    <definedName name="ADAK046100col_HEALTH_PERM">Data!$BB$243</definedName>
    <definedName name="ADAK046100col_HEALTH_PERM_BY">Data!$BN$243</definedName>
    <definedName name="ADAK046100col_HEALTH_PERM_CHG">Data!$BZ$243</definedName>
    <definedName name="ADAK046100col_INC_FTI">Data!$AS$243</definedName>
    <definedName name="ADAK046100col_LIFE_INS">Data!$BG$243</definedName>
    <definedName name="ADAK046100col_LIFE_INS_BY">Data!$BS$243</definedName>
    <definedName name="ADAK046100col_LIFE_INS_CHG">Data!$CE$243</definedName>
    <definedName name="ADAK046100col_RETIREMENT">Data!$BF$243</definedName>
    <definedName name="ADAK046100col_RETIREMENT_BY">Data!$BR$243</definedName>
    <definedName name="ADAK046100col_RETIREMENT_CHG">Data!$CD$243</definedName>
    <definedName name="ADAK046100col_ROWS_PER_PCN">Data!$AW$243</definedName>
    <definedName name="ADAK046100col_SICK">Data!$BK$243</definedName>
    <definedName name="ADAK046100col_SICK_BY">Data!$BW$243</definedName>
    <definedName name="ADAK046100col_SICK_CHG">Data!$CI$243</definedName>
    <definedName name="ADAK046100col_SSDI">Data!$BD$243</definedName>
    <definedName name="ADAK046100col_SSDI_BY">Data!$BP$243</definedName>
    <definedName name="ADAK046100col_SSDI_CHG">Data!$CB$243</definedName>
    <definedName name="ADAK046100col_SSHI">Data!$BE$243</definedName>
    <definedName name="ADAK046100col_SSHI_BY">Data!$BQ$243</definedName>
    <definedName name="ADAK046100col_SSHI_CHGv">Data!$CC$243</definedName>
    <definedName name="ADAK046100col_TOT_VB_ELECT">Data!$BM$243</definedName>
    <definedName name="ADAK046100col_TOT_VB_ELECT_BY">Data!$BY$243</definedName>
    <definedName name="ADAK046100col_TOT_VB_ELECT_CHG">Data!$CK$243</definedName>
    <definedName name="ADAK046100col_TOT_VB_PERM">Data!$BL$243</definedName>
    <definedName name="ADAK046100col_TOT_VB_PERM_BY">Data!$BX$243</definedName>
    <definedName name="ADAK046100col_TOT_VB_PERM_CHG">Data!$CJ$243</definedName>
    <definedName name="ADAK046100col_TOTAL_ELECT_PCN_FTI">Data!$AT$243</definedName>
    <definedName name="ADAK046100col_TOTAL_ELECT_PCN_FTI_ALT">Data!$AV$243</definedName>
    <definedName name="ADAK046100col_TOTAL_PERM_PCN_FTI">Data!$AU$243</definedName>
    <definedName name="ADAK046100col_UNEMP_INS">Data!$BH$243</definedName>
    <definedName name="ADAK046100col_UNEMP_INS_BY">Data!$BT$243</definedName>
    <definedName name="ADAK046100col_UNEMP_INS_CHG">Data!$CF$243</definedName>
    <definedName name="ADAK046100col_WORKERS_COMP">Data!$BJ$243</definedName>
    <definedName name="ADAK046100col_WORKERS_COMP_BY">Data!$BV$243</definedName>
    <definedName name="ADAK046100col_WORKERS_COMP_CHG">Data!$CH$243</definedName>
    <definedName name="ADAK046200col_1_27TH_PP">Data!$BA$246</definedName>
    <definedName name="ADAK046200col_DHR">Data!$BI$246</definedName>
    <definedName name="ADAK046200col_DHR_BY">Data!$BU$246</definedName>
    <definedName name="ADAK046200col_DHR_CHG">Data!$CG$246</definedName>
    <definedName name="ADAK046200col_FTI_SALARY_ELECT">Data!$AZ$246</definedName>
    <definedName name="ADAK046200col_FTI_SALARY_PERM">Data!$AY$246</definedName>
    <definedName name="ADAK046200col_FTI_SALARY_SSDI">Data!$AX$246</definedName>
    <definedName name="ADAK046200col_Group_Ben">Data!$CM$246</definedName>
    <definedName name="ADAK046200col_Group_Salary">Data!$CL$246</definedName>
    <definedName name="ADAK046200col_HEALTH_ELECT">Data!$BC$246</definedName>
    <definedName name="ADAK046200col_HEALTH_ELECT_BY">Data!$BO$246</definedName>
    <definedName name="ADAK046200col_HEALTH_ELECT_CHG">Data!$CA$246</definedName>
    <definedName name="ADAK046200col_HEALTH_PERM">Data!$BB$246</definedName>
    <definedName name="ADAK046200col_HEALTH_PERM_BY">Data!$BN$246</definedName>
    <definedName name="ADAK046200col_HEALTH_PERM_CHG">Data!$BZ$246</definedName>
    <definedName name="ADAK046200col_INC_FTI">Data!$AS$246</definedName>
    <definedName name="ADAK046200col_LIFE_INS">Data!$BG$246</definedName>
    <definedName name="ADAK046200col_LIFE_INS_BY">Data!$BS$246</definedName>
    <definedName name="ADAK046200col_LIFE_INS_CHG">Data!$CE$246</definedName>
    <definedName name="ADAK046200col_RETIREMENT">Data!$BF$246</definedName>
    <definedName name="ADAK046200col_RETIREMENT_BY">Data!$BR$246</definedName>
    <definedName name="ADAK046200col_RETIREMENT_CHG">Data!$CD$246</definedName>
    <definedName name="ADAK046200col_ROWS_PER_PCN">Data!$AW$246</definedName>
    <definedName name="ADAK046200col_SICK">Data!$BK$246</definedName>
    <definedName name="ADAK046200col_SICK_BY">Data!$BW$246</definedName>
    <definedName name="ADAK046200col_SICK_CHG">Data!$CI$246</definedName>
    <definedName name="ADAK046200col_SSDI">Data!$BD$246</definedName>
    <definedName name="ADAK046200col_SSDI_BY">Data!$BP$246</definedName>
    <definedName name="ADAK046200col_SSDI_CHG">Data!$CB$246</definedName>
    <definedName name="ADAK046200col_SSHI">Data!$BE$246</definedName>
    <definedName name="ADAK046200col_SSHI_BY">Data!$BQ$246</definedName>
    <definedName name="ADAK046200col_SSHI_CHGv">Data!$CC$246</definedName>
    <definedName name="ADAK046200col_TOT_VB_ELECT">Data!$BM$246</definedName>
    <definedName name="ADAK046200col_TOT_VB_ELECT_BY">Data!$BY$246</definedName>
    <definedName name="ADAK046200col_TOT_VB_ELECT_CHG">Data!$CK$246</definedName>
    <definedName name="ADAK046200col_TOT_VB_PERM">Data!$BL$246</definedName>
    <definedName name="ADAK046200col_TOT_VB_PERM_BY">Data!$BX$246</definedName>
    <definedName name="ADAK046200col_TOT_VB_PERM_CHG">Data!$CJ$246</definedName>
    <definedName name="ADAK046200col_TOTAL_ELECT_PCN_FTI">Data!$AT$246</definedName>
    <definedName name="ADAK046200col_TOTAL_ELECT_PCN_FTI_ALT">Data!$AV$246</definedName>
    <definedName name="ADAK046200col_TOTAL_PERM_PCN_FTI">Data!$AU$246</definedName>
    <definedName name="ADAK046200col_UNEMP_INS">Data!$BH$246</definedName>
    <definedName name="ADAK046200col_UNEMP_INS_BY">Data!$BT$246</definedName>
    <definedName name="ADAK046200col_UNEMP_INS_CHG">Data!$CF$246</definedName>
    <definedName name="ADAK046200col_WORKERS_COMP">Data!$BJ$246</definedName>
    <definedName name="ADAK046200col_WORKERS_COMP_BY">Data!$BV$246</definedName>
    <definedName name="ADAK046200col_WORKERS_COMP_CHG">Data!$CH$246</definedName>
    <definedName name="ADAK051900col_1_27TH_PP">Data!$BA$248</definedName>
    <definedName name="ADAK051900col_DHR">Data!$BI$248</definedName>
    <definedName name="ADAK051900col_DHR_BY">Data!$BU$248</definedName>
    <definedName name="ADAK051900col_DHR_CHG">Data!$CG$248</definedName>
    <definedName name="ADAK051900col_FTI_SALARY_ELECT">Data!$AZ$248</definedName>
    <definedName name="ADAK051900col_FTI_SALARY_PERM">Data!$AY$248</definedName>
    <definedName name="ADAK051900col_FTI_SALARY_SSDI">Data!$AX$248</definedName>
    <definedName name="ADAK051900col_Group_Ben">Data!$CM$248</definedName>
    <definedName name="ADAK051900col_Group_Salary">Data!$CL$248</definedName>
    <definedName name="ADAK051900col_HEALTH_ELECT">Data!$BC$248</definedName>
    <definedName name="ADAK051900col_HEALTH_ELECT_BY">Data!$BO$248</definedName>
    <definedName name="ADAK051900col_HEALTH_ELECT_CHG">Data!$CA$248</definedName>
    <definedName name="ADAK051900col_HEALTH_PERM">Data!$BB$248</definedName>
    <definedName name="ADAK051900col_HEALTH_PERM_BY">Data!$BN$248</definedName>
    <definedName name="ADAK051900col_HEALTH_PERM_CHG">Data!$BZ$248</definedName>
    <definedName name="ADAK051900col_INC_FTI">Data!$AS$248</definedName>
    <definedName name="ADAK051900col_LIFE_INS">Data!$BG$248</definedName>
    <definedName name="ADAK051900col_LIFE_INS_BY">Data!$BS$248</definedName>
    <definedName name="ADAK051900col_LIFE_INS_CHG">Data!$CE$248</definedName>
    <definedName name="ADAK051900col_RETIREMENT">Data!$BF$248</definedName>
    <definedName name="ADAK051900col_RETIREMENT_BY">Data!$BR$248</definedName>
    <definedName name="ADAK051900col_RETIREMENT_CHG">Data!$CD$248</definedName>
    <definedName name="ADAK051900col_ROWS_PER_PCN">Data!$AW$248</definedName>
    <definedName name="ADAK051900col_SICK">Data!$BK$248</definedName>
    <definedName name="ADAK051900col_SICK_BY">Data!$BW$248</definedName>
    <definedName name="ADAK051900col_SICK_CHG">Data!$CI$248</definedName>
    <definedName name="ADAK051900col_SSDI">Data!$BD$248</definedName>
    <definedName name="ADAK051900col_SSDI_BY">Data!$BP$248</definedName>
    <definedName name="ADAK051900col_SSDI_CHG">Data!$CB$248</definedName>
    <definedName name="ADAK051900col_SSHI">Data!$BE$248</definedName>
    <definedName name="ADAK051900col_SSHI_BY">Data!$BQ$248</definedName>
    <definedName name="ADAK051900col_SSHI_CHGv">Data!$CC$248</definedName>
    <definedName name="ADAK051900col_TOT_VB_ELECT">Data!$BM$248</definedName>
    <definedName name="ADAK051900col_TOT_VB_ELECT_BY">Data!$BY$248</definedName>
    <definedName name="ADAK051900col_TOT_VB_ELECT_CHG">Data!$CK$248</definedName>
    <definedName name="ADAK051900col_TOT_VB_PERM">Data!$BL$248</definedName>
    <definedName name="ADAK051900col_TOT_VB_PERM_BY">Data!$BX$248</definedName>
    <definedName name="ADAK051900col_TOT_VB_PERM_CHG">Data!$CJ$248</definedName>
    <definedName name="ADAK051900col_TOTAL_ELECT_PCN_FTI">Data!$AT$248</definedName>
    <definedName name="ADAK051900col_TOTAL_ELECT_PCN_FTI_ALT">Data!$AV$248</definedName>
    <definedName name="ADAK051900col_TOTAL_PERM_PCN_FTI">Data!$AU$248</definedName>
    <definedName name="ADAK051900col_UNEMP_INS">Data!$BH$248</definedName>
    <definedName name="ADAK051900col_UNEMP_INS_BY">Data!$BT$248</definedName>
    <definedName name="ADAK051900col_UNEMP_INS_CHG">Data!$CF$248</definedName>
    <definedName name="ADAK051900col_WORKERS_COMP">Data!$BJ$248</definedName>
    <definedName name="ADAK051900col_WORKERS_COMP_BY">Data!$BV$248</definedName>
    <definedName name="ADAK051900col_WORKERS_COMP_CHG">Data!$CH$248</definedName>
    <definedName name="ADAM000100col_1_27TH_PP">Data!$BA$250</definedName>
    <definedName name="ADAM000100col_DHR">Data!$BI$250</definedName>
    <definedName name="ADAM000100col_DHR_BY">Data!$BU$250</definedName>
    <definedName name="ADAM000100col_DHR_CHG">Data!$CG$250</definedName>
    <definedName name="ADAM000100col_FTI_SALARY_ELECT">Data!$AZ$250</definedName>
    <definedName name="ADAM000100col_FTI_SALARY_PERM">Data!$AY$250</definedName>
    <definedName name="ADAM000100col_FTI_SALARY_SSDI">Data!$AX$250</definedName>
    <definedName name="ADAM000100col_Group_Ben">Data!$CM$250</definedName>
    <definedName name="ADAM000100col_Group_Salary">Data!$CL$250</definedName>
    <definedName name="ADAM000100col_HEALTH_ELECT">Data!$BC$250</definedName>
    <definedName name="ADAM000100col_HEALTH_ELECT_BY">Data!$BO$250</definedName>
    <definedName name="ADAM000100col_HEALTH_ELECT_CHG">Data!$CA$250</definedName>
    <definedName name="ADAM000100col_HEALTH_PERM">Data!$BB$250</definedName>
    <definedName name="ADAM000100col_HEALTH_PERM_BY">Data!$BN$250</definedName>
    <definedName name="ADAM000100col_HEALTH_PERM_CHG">Data!$BZ$250</definedName>
    <definedName name="ADAM000100col_INC_FTI">Data!$AS$250</definedName>
    <definedName name="ADAM000100col_LIFE_INS">Data!$BG$250</definedName>
    <definedName name="ADAM000100col_LIFE_INS_BY">Data!$BS$250</definedName>
    <definedName name="ADAM000100col_LIFE_INS_CHG">Data!$CE$250</definedName>
    <definedName name="ADAM000100col_RETIREMENT">Data!$BF$250</definedName>
    <definedName name="ADAM000100col_RETIREMENT_BY">Data!$BR$250</definedName>
    <definedName name="ADAM000100col_RETIREMENT_CHG">Data!$CD$250</definedName>
    <definedName name="ADAM000100col_ROWS_PER_PCN">Data!$AW$250</definedName>
    <definedName name="ADAM000100col_SICK">Data!$BK$250</definedName>
    <definedName name="ADAM000100col_SICK_BY">Data!$BW$250</definedName>
    <definedName name="ADAM000100col_SICK_CHG">Data!$CI$250</definedName>
    <definedName name="ADAM000100col_SSDI">Data!$BD$250</definedName>
    <definedName name="ADAM000100col_SSDI_BY">Data!$BP$250</definedName>
    <definedName name="ADAM000100col_SSDI_CHG">Data!$CB$250</definedName>
    <definedName name="ADAM000100col_SSHI">Data!$BE$250</definedName>
    <definedName name="ADAM000100col_SSHI_BY">Data!$BQ$250</definedName>
    <definedName name="ADAM000100col_SSHI_CHGv">Data!$CC$250</definedName>
    <definedName name="ADAM000100col_TOT_VB_ELECT">Data!$BM$250</definedName>
    <definedName name="ADAM000100col_TOT_VB_ELECT_BY">Data!$BY$250</definedName>
    <definedName name="ADAM000100col_TOT_VB_ELECT_CHG">Data!$CK$250</definedName>
    <definedName name="ADAM000100col_TOT_VB_PERM">Data!$BL$250</definedName>
    <definedName name="ADAM000100col_TOT_VB_PERM_BY">Data!$BX$250</definedName>
    <definedName name="ADAM000100col_TOT_VB_PERM_CHG">Data!$CJ$250</definedName>
    <definedName name="ADAM000100col_TOTAL_ELECT_PCN_FTI">Data!$AT$250</definedName>
    <definedName name="ADAM000100col_TOTAL_ELECT_PCN_FTI_ALT">Data!$AV$250</definedName>
    <definedName name="ADAM000100col_TOTAL_PERM_PCN_FTI">Data!$AU$250</definedName>
    <definedName name="ADAM000100col_UNEMP_INS">Data!$BH$250</definedName>
    <definedName name="ADAM000100col_UNEMP_INS_BY">Data!$BT$250</definedName>
    <definedName name="ADAM000100col_UNEMP_INS_CHG">Data!$CF$250</definedName>
    <definedName name="ADAM000100col_WORKERS_COMP">Data!$BJ$250</definedName>
    <definedName name="ADAM000100col_WORKERS_COMP_BY">Data!$BV$250</definedName>
    <definedName name="ADAM000100col_WORKERS_COMP_CHG">Data!$CH$250</definedName>
    <definedName name="ADAM045000col_1_27TH_PP">Data!$BA$252</definedName>
    <definedName name="ADAM045000col_DHR">Data!$BI$252</definedName>
    <definedName name="ADAM045000col_DHR_BY">Data!$BU$252</definedName>
    <definedName name="ADAM045000col_DHR_CHG">Data!$CG$252</definedName>
    <definedName name="ADAM045000col_FTI_SALARY_ELECT">Data!$AZ$252</definedName>
    <definedName name="ADAM045000col_FTI_SALARY_PERM">Data!$AY$252</definedName>
    <definedName name="ADAM045000col_FTI_SALARY_SSDI">Data!$AX$252</definedName>
    <definedName name="ADAM045000col_Group_Ben">Data!$CM$252</definedName>
    <definedName name="ADAM045000col_Group_Salary">Data!$CL$252</definedName>
    <definedName name="ADAM045000col_HEALTH_ELECT">Data!$BC$252</definedName>
    <definedName name="ADAM045000col_HEALTH_ELECT_BY">Data!$BO$252</definedName>
    <definedName name="ADAM045000col_HEALTH_ELECT_CHG">Data!$CA$252</definedName>
    <definedName name="ADAM045000col_HEALTH_PERM">Data!$BB$252</definedName>
    <definedName name="ADAM045000col_HEALTH_PERM_BY">Data!$BN$252</definedName>
    <definedName name="ADAM045000col_HEALTH_PERM_CHG">Data!$BZ$252</definedName>
    <definedName name="ADAM045000col_INC_FTI">Data!$AS$252</definedName>
    <definedName name="ADAM045000col_LIFE_INS">Data!$BG$252</definedName>
    <definedName name="ADAM045000col_LIFE_INS_BY">Data!$BS$252</definedName>
    <definedName name="ADAM045000col_LIFE_INS_CHG">Data!$CE$252</definedName>
    <definedName name="ADAM045000col_RETIREMENT">Data!$BF$252</definedName>
    <definedName name="ADAM045000col_RETIREMENT_BY">Data!$BR$252</definedName>
    <definedName name="ADAM045000col_RETIREMENT_CHG">Data!$CD$252</definedName>
    <definedName name="ADAM045000col_ROWS_PER_PCN">Data!$AW$252</definedName>
    <definedName name="ADAM045000col_SICK">Data!$BK$252</definedName>
    <definedName name="ADAM045000col_SICK_BY">Data!$BW$252</definedName>
    <definedName name="ADAM045000col_SICK_CHG">Data!$CI$252</definedName>
    <definedName name="ADAM045000col_SSDI">Data!$BD$252</definedName>
    <definedName name="ADAM045000col_SSDI_BY">Data!$BP$252</definedName>
    <definedName name="ADAM045000col_SSDI_CHG">Data!$CB$252</definedName>
    <definedName name="ADAM045000col_SSHI">Data!$BE$252</definedName>
    <definedName name="ADAM045000col_SSHI_BY">Data!$BQ$252</definedName>
    <definedName name="ADAM045000col_SSHI_CHGv">Data!$CC$252</definedName>
    <definedName name="ADAM045000col_TOT_VB_ELECT">Data!$BM$252</definedName>
    <definedName name="ADAM045000col_TOT_VB_ELECT_BY">Data!$BY$252</definedName>
    <definedName name="ADAM045000col_TOT_VB_ELECT_CHG">Data!$CK$252</definedName>
    <definedName name="ADAM045000col_TOT_VB_PERM">Data!$BL$252</definedName>
    <definedName name="ADAM045000col_TOT_VB_PERM_BY">Data!$BX$252</definedName>
    <definedName name="ADAM045000col_TOT_VB_PERM_CHG">Data!$CJ$252</definedName>
    <definedName name="ADAM045000col_TOTAL_ELECT_PCN_FTI">Data!$AT$252</definedName>
    <definedName name="ADAM045000col_TOTAL_ELECT_PCN_FTI_ALT">Data!$AV$252</definedName>
    <definedName name="ADAM045000col_TOTAL_PERM_PCN_FTI">Data!$AU$252</definedName>
    <definedName name="ADAM045000col_UNEMP_INS">Data!$BH$252</definedName>
    <definedName name="ADAM045000col_UNEMP_INS_BY">Data!$BT$252</definedName>
    <definedName name="ADAM045000col_UNEMP_INS_CHG">Data!$CF$252</definedName>
    <definedName name="ADAM045000col_WORKERS_COMP">Data!$BJ$252</definedName>
    <definedName name="ADAM045000col_WORKERS_COMP_BY">Data!$BV$252</definedName>
    <definedName name="ADAM045000col_WORKERS_COMP_CHG">Data!$CH$252</definedName>
    <definedName name="ADAN045600col_1_27TH_PP">Data!$BA$254</definedName>
    <definedName name="ADAN045600col_DHR">Data!$BI$254</definedName>
    <definedName name="ADAN045600col_DHR_BY">Data!$BU$254</definedName>
    <definedName name="ADAN045600col_DHR_CHG">Data!$CG$254</definedName>
    <definedName name="ADAN045600col_FTI_SALARY_ELECT">Data!$AZ$254</definedName>
    <definedName name="ADAN045600col_FTI_SALARY_PERM">Data!$AY$254</definedName>
    <definedName name="ADAN045600col_FTI_SALARY_SSDI">Data!$AX$254</definedName>
    <definedName name="ADAN045600col_Group_Ben">Data!$CM$254</definedName>
    <definedName name="ADAN045600col_Group_Salary">Data!$CL$254</definedName>
    <definedName name="ADAN045600col_HEALTH_ELECT">Data!$BC$254</definedName>
    <definedName name="ADAN045600col_HEALTH_ELECT_BY">Data!$BO$254</definedName>
    <definedName name="ADAN045600col_HEALTH_ELECT_CHG">Data!$CA$254</definedName>
    <definedName name="ADAN045600col_HEALTH_PERM">Data!$BB$254</definedName>
    <definedName name="ADAN045600col_HEALTH_PERM_BY">Data!$BN$254</definedName>
    <definedName name="ADAN045600col_HEALTH_PERM_CHG">Data!$BZ$254</definedName>
    <definedName name="ADAN045600col_INC_FTI">Data!$AS$254</definedName>
    <definedName name="ADAN045600col_LIFE_INS">Data!$BG$254</definedName>
    <definedName name="ADAN045600col_LIFE_INS_BY">Data!$BS$254</definedName>
    <definedName name="ADAN045600col_LIFE_INS_CHG">Data!$CE$254</definedName>
    <definedName name="ADAN045600col_RETIREMENT">Data!$BF$254</definedName>
    <definedName name="ADAN045600col_RETIREMENT_BY">Data!$BR$254</definedName>
    <definedName name="ADAN045600col_RETIREMENT_CHG">Data!$CD$254</definedName>
    <definedName name="ADAN045600col_ROWS_PER_PCN">Data!$AW$254</definedName>
    <definedName name="ADAN045600col_SICK">Data!$BK$254</definedName>
    <definedName name="ADAN045600col_SICK_BY">Data!$BW$254</definedName>
    <definedName name="ADAN045600col_SICK_CHG">Data!$CI$254</definedName>
    <definedName name="ADAN045600col_SSDI">Data!$BD$254</definedName>
    <definedName name="ADAN045600col_SSDI_BY">Data!$BP$254</definedName>
    <definedName name="ADAN045600col_SSDI_CHG">Data!$CB$254</definedName>
    <definedName name="ADAN045600col_SSHI">Data!$BE$254</definedName>
    <definedName name="ADAN045600col_SSHI_BY">Data!$BQ$254</definedName>
    <definedName name="ADAN045600col_SSHI_CHGv">Data!$CC$254</definedName>
    <definedName name="ADAN045600col_TOT_VB_ELECT">Data!$BM$254</definedName>
    <definedName name="ADAN045600col_TOT_VB_ELECT_BY">Data!$BY$254</definedName>
    <definedName name="ADAN045600col_TOT_VB_ELECT_CHG">Data!$CK$254</definedName>
    <definedName name="ADAN045600col_TOT_VB_PERM">Data!$BL$254</definedName>
    <definedName name="ADAN045600col_TOT_VB_PERM_BY">Data!$BX$254</definedName>
    <definedName name="ADAN045600col_TOT_VB_PERM_CHG">Data!$CJ$254</definedName>
    <definedName name="ADAN045600col_TOTAL_ELECT_PCN_FTI">Data!$AT$254</definedName>
    <definedName name="ADAN045600col_TOTAL_ELECT_PCN_FTI_ALT">Data!$AV$254</definedName>
    <definedName name="ADAN045600col_TOTAL_PERM_PCN_FTI">Data!$AU$254</definedName>
    <definedName name="ADAN045600col_UNEMP_INS">Data!$BH$254</definedName>
    <definedName name="ADAN045600col_UNEMP_INS_BY">Data!$BT$254</definedName>
    <definedName name="ADAN045600col_UNEMP_INS_CHG">Data!$CF$254</definedName>
    <definedName name="ADAN045600col_WORKERS_COMP">Data!$BJ$254</definedName>
    <definedName name="ADAN045600col_WORKERS_COMP_BY">Data!$BV$254</definedName>
    <definedName name="ADAN045600col_WORKERS_COMP_CHG">Data!$CH$254</definedName>
    <definedName name="ADAN046100col_1_27TH_PP">Data!$BA$256</definedName>
    <definedName name="ADAN046100col_DHR">Data!$BI$256</definedName>
    <definedName name="ADAN046100col_DHR_BY">Data!$BU$256</definedName>
    <definedName name="ADAN046100col_DHR_CHG">Data!$CG$256</definedName>
    <definedName name="ADAN046100col_FTI_SALARY_ELECT">Data!$AZ$256</definedName>
    <definedName name="ADAN046100col_FTI_SALARY_PERM">Data!$AY$256</definedName>
    <definedName name="ADAN046100col_FTI_SALARY_SSDI">Data!$AX$256</definedName>
    <definedName name="ADAN046100col_Group_Ben">Data!$CM$256</definedName>
    <definedName name="ADAN046100col_Group_Salary">Data!$CL$256</definedName>
    <definedName name="ADAN046100col_HEALTH_ELECT">Data!$BC$256</definedName>
    <definedName name="ADAN046100col_HEALTH_ELECT_BY">Data!$BO$256</definedName>
    <definedName name="ADAN046100col_HEALTH_ELECT_CHG">Data!$CA$256</definedName>
    <definedName name="ADAN046100col_HEALTH_PERM">Data!$BB$256</definedName>
    <definedName name="ADAN046100col_HEALTH_PERM_BY">Data!$BN$256</definedName>
    <definedName name="ADAN046100col_HEALTH_PERM_CHG">Data!$BZ$256</definedName>
    <definedName name="ADAN046100col_INC_FTI">Data!$AS$256</definedName>
    <definedName name="ADAN046100col_LIFE_INS">Data!$BG$256</definedName>
    <definedName name="ADAN046100col_LIFE_INS_BY">Data!$BS$256</definedName>
    <definedName name="ADAN046100col_LIFE_INS_CHG">Data!$CE$256</definedName>
    <definedName name="ADAN046100col_RETIREMENT">Data!$BF$256</definedName>
    <definedName name="ADAN046100col_RETIREMENT_BY">Data!$BR$256</definedName>
    <definedName name="ADAN046100col_RETIREMENT_CHG">Data!$CD$256</definedName>
    <definedName name="ADAN046100col_ROWS_PER_PCN">Data!$AW$256</definedName>
    <definedName name="ADAN046100col_SICK">Data!$BK$256</definedName>
    <definedName name="ADAN046100col_SICK_BY">Data!$BW$256</definedName>
    <definedName name="ADAN046100col_SICK_CHG">Data!$CI$256</definedName>
    <definedName name="ADAN046100col_SSDI">Data!$BD$256</definedName>
    <definedName name="ADAN046100col_SSDI_BY">Data!$BP$256</definedName>
    <definedName name="ADAN046100col_SSDI_CHG">Data!$CB$256</definedName>
    <definedName name="ADAN046100col_SSHI">Data!$BE$256</definedName>
    <definedName name="ADAN046100col_SSHI_BY">Data!$BQ$256</definedName>
    <definedName name="ADAN046100col_SSHI_CHGv">Data!$CC$256</definedName>
    <definedName name="ADAN046100col_TOT_VB_ELECT">Data!$BM$256</definedName>
    <definedName name="ADAN046100col_TOT_VB_ELECT_BY">Data!$BY$256</definedName>
    <definedName name="ADAN046100col_TOT_VB_ELECT_CHG">Data!$CK$256</definedName>
    <definedName name="ADAN046100col_TOT_VB_PERM">Data!$BL$256</definedName>
    <definedName name="ADAN046100col_TOT_VB_PERM_BY">Data!$BX$256</definedName>
    <definedName name="ADAN046100col_TOT_VB_PERM_CHG">Data!$CJ$256</definedName>
    <definedName name="ADAN046100col_TOTAL_ELECT_PCN_FTI">Data!$AT$256</definedName>
    <definedName name="ADAN046100col_TOTAL_ELECT_PCN_FTI_ALT">Data!$AV$256</definedName>
    <definedName name="ADAN046100col_TOTAL_PERM_PCN_FTI">Data!$AU$256</definedName>
    <definedName name="ADAN046100col_UNEMP_INS">Data!$BH$256</definedName>
    <definedName name="ADAN046100col_UNEMP_INS_BY">Data!$BT$256</definedName>
    <definedName name="ADAN046100col_UNEMP_INS_CHG">Data!$CF$256</definedName>
    <definedName name="ADAN046100col_WORKERS_COMP">Data!$BJ$256</definedName>
    <definedName name="ADAN046100col_WORKERS_COMP_BY">Data!$BV$256</definedName>
    <definedName name="ADAN046100col_WORKERS_COMP_CHG">Data!$CH$256</definedName>
    <definedName name="ADAN046200col_1_27TH_PP">Data!$BA$258</definedName>
    <definedName name="ADAN046200col_DHR">Data!$BI$258</definedName>
    <definedName name="ADAN046200col_DHR_BY">Data!$BU$258</definedName>
    <definedName name="ADAN046200col_DHR_CHG">Data!$CG$258</definedName>
    <definedName name="ADAN046200col_FTI_SALARY_ELECT">Data!$AZ$258</definedName>
    <definedName name="ADAN046200col_FTI_SALARY_PERM">Data!$AY$258</definedName>
    <definedName name="ADAN046200col_FTI_SALARY_SSDI">Data!$AX$258</definedName>
    <definedName name="ADAN046200col_Group_Ben">Data!$CM$258</definedName>
    <definedName name="ADAN046200col_Group_Salary">Data!$CL$258</definedName>
    <definedName name="ADAN046200col_HEALTH_ELECT">Data!$BC$258</definedName>
    <definedName name="ADAN046200col_HEALTH_ELECT_BY">Data!$BO$258</definedName>
    <definedName name="ADAN046200col_HEALTH_ELECT_CHG">Data!$CA$258</definedName>
    <definedName name="ADAN046200col_HEALTH_PERM">Data!$BB$258</definedName>
    <definedName name="ADAN046200col_HEALTH_PERM_BY">Data!$BN$258</definedName>
    <definedName name="ADAN046200col_HEALTH_PERM_CHG">Data!$BZ$258</definedName>
    <definedName name="ADAN046200col_INC_FTI">Data!$AS$258</definedName>
    <definedName name="ADAN046200col_LIFE_INS">Data!$BG$258</definedName>
    <definedName name="ADAN046200col_LIFE_INS_BY">Data!$BS$258</definedName>
    <definedName name="ADAN046200col_LIFE_INS_CHG">Data!$CE$258</definedName>
    <definedName name="ADAN046200col_RETIREMENT">Data!$BF$258</definedName>
    <definedName name="ADAN046200col_RETIREMENT_BY">Data!$BR$258</definedName>
    <definedName name="ADAN046200col_RETIREMENT_CHG">Data!$CD$258</definedName>
    <definedName name="ADAN046200col_ROWS_PER_PCN">Data!$AW$258</definedName>
    <definedName name="ADAN046200col_SICK">Data!$BK$258</definedName>
    <definedName name="ADAN046200col_SICK_BY">Data!$BW$258</definedName>
    <definedName name="ADAN046200col_SICK_CHG">Data!$CI$258</definedName>
    <definedName name="ADAN046200col_SSDI">Data!$BD$258</definedName>
    <definedName name="ADAN046200col_SSDI_BY">Data!$BP$258</definedName>
    <definedName name="ADAN046200col_SSDI_CHG">Data!$CB$258</definedName>
    <definedName name="ADAN046200col_SSHI">Data!$BE$258</definedName>
    <definedName name="ADAN046200col_SSHI_BY">Data!$BQ$258</definedName>
    <definedName name="ADAN046200col_SSHI_CHGv">Data!$CC$258</definedName>
    <definedName name="ADAN046200col_TOT_VB_ELECT">Data!$BM$258</definedName>
    <definedName name="ADAN046200col_TOT_VB_ELECT_BY">Data!$BY$258</definedName>
    <definedName name="ADAN046200col_TOT_VB_ELECT_CHG">Data!$CK$258</definedName>
    <definedName name="ADAN046200col_TOT_VB_PERM">Data!$BL$258</definedName>
    <definedName name="ADAN046200col_TOT_VB_PERM_BY">Data!$BX$258</definedName>
    <definedName name="ADAN046200col_TOT_VB_PERM_CHG">Data!$CJ$258</definedName>
    <definedName name="ADAN046200col_TOTAL_ELECT_PCN_FTI">Data!$AT$258</definedName>
    <definedName name="ADAN046200col_TOTAL_ELECT_PCN_FTI_ALT">Data!$AV$258</definedName>
    <definedName name="ADAN046200col_TOTAL_PERM_PCN_FTI">Data!$AU$258</definedName>
    <definedName name="ADAN046200col_UNEMP_INS">Data!$BH$258</definedName>
    <definedName name="ADAN046200col_UNEMP_INS_BY">Data!$BT$258</definedName>
    <definedName name="ADAN046200col_UNEMP_INS_CHG">Data!$CF$258</definedName>
    <definedName name="ADAN046200col_WORKERS_COMP">Data!$BJ$258</definedName>
    <definedName name="ADAN046200col_WORKERS_COMP_BY">Data!$BV$258</definedName>
    <definedName name="ADAN046200col_WORKERS_COMP_CHG">Data!$CH$258</definedName>
    <definedName name="AdjGroupHlth" localSheetId="0">'ADAA|0001-00'!$H$39</definedName>
    <definedName name="AdjGroupHlth" localSheetId="1">'ADAA|0365-00'!$H$39</definedName>
    <definedName name="AdjGroupHlth" localSheetId="2">'ADAA|0450-00'!$H$39</definedName>
    <definedName name="AdjGroupHlth" localSheetId="3">'ADAA|0519-00'!$H$39</definedName>
    <definedName name="AdjGroupHlth" localSheetId="4">'ADAC|0365-00'!$H$39</definedName>
    <definedName name="AdjGroupHlth" localSheetId="5">'ADAC|0450-00'!$H$39</definedName>
    <definedName name="AdjGroupHlth" localSheetId="6">'ADAD|0450-00'!$H$39</definedName>
    <definedName name="AdjGroupHlth" localSheetId="7">'ADAD|0456-00'!$H$39</definedName>
    <definedName name="AdjGroupHlth" localSheetId="8">'ADAK|0461-00'!$H$39</definedName>
    <definedName name="AdjGroupHlth" localSheetId="9">'ADAK|0462-00'!$H$39</definedName>
    <definedName name="AdjGroupHlth" localSheetId="10">'ADAK|0519-00'!$H$39</definedName>
    <definedName name="AdjGroupHlth" localSheetId="11">'ADAM|0001-00'!$H$39</definedName>
    <definedName name="AdjGroupHlth" localSheetId="12">'ADAM|0450-00'!$H$39</definedName>
    <definedName name="AdjGroupHlth" localSheetId="13">'ADAN|0456-00'!$H$39</definedName>
    <definedName name="AdjGroupHlth" localSheetId="14">'ADAN|0461-00'!$H$39</definedName>
    <definedName name="AdjGroupHlth" localSheetId="15">'ADAN|0462-00'!$H$39</definedName>
    <definedName name="AdjGroupHlth">'B6'!$H$39</definedName>
    <definedName name="AdjGroupSalary" localSheetId="0">'ADAA|0001-00'!$G$39</definedName>
    <definedName name="AdjGroupSalary" localSheetId="1">'ADAA|0365-00'!$G$39</definedName>
    <definedName name="AdjGroupSalary" localSheetId="2">'ADAA|0450-00'!$G$39</definedName>
    <definedName name="AdjGroupSalary" localSheetId="3">'ADAA|0519-00'!$G$39</definedName>
    <definedName name="AdjGroupSalary" localSheetId="4">'ADAC|0365-00'!$G$39</definedName>
    <definedName name="AdjGroupSalary" localSheetId="5">'ADAC|0450-00'!$G$39</definedName>
    <definedName name="AdjGroupSalary" localSheetId="6">'ADAD|0450-00'!$G$39</definedName>
    <definedName name="AdjGroupSalary" localSheetId="7">'ADAD|0456-00'!$G$39</definedName>
    <definedName name="AdjGroupSalary" localSheetId="8">'ADAK|0461-00'!$G$39</definedName>
    <definedName name="AdjGroupSalary" localSheetId="9">'ADAK|0462-00'!$G$39</definedName>
    <definedName name="AdjGroupSalary" localSheetId="10">'ADAK|0519-00'!$G$39</definedName>
    <definedName name="AdjGroupSalary" localSheetId="11">'ADAM|0001-00'!$G$39</definedName>
    <definedName name="AdjGroupSalary" localSheetId="12">'ADAM|0450-00'!$G$39</definedName>
    <definedName name="AdjGroupSalary" localSheetId="13">'ADAN|0456-00'!$G$39</definedName>
    <definedName name="AdjGroupSalary" localSheetId="14">'ADAN|0461-00'!$G$39</definedName>
    <definedName name="AdjGroupSalary" localSheetId="15">'ADAN|0462-00'!$G$39</definedName>
    <definedName name="AdjGroupSalary">'B6'!$G$39</definedName>
    <definedName name="AdjGroupVB" localSheetId="0">'ADAA|0001-00'!$I$39</definedName>
    <definedName name="AdjGroupVB" localSheetId="1">'ADAA|0365-00'!$I$39</definedName>
    <definedName name="AdjGroupVB" localSheetId="2">'ADAA|0450-00'!$I$39</definedName>
    <definedName name="AdjGroupVB" localSheetId="3">'ADAA|0519-00'!$I$39</definedName>
    <definedName name="AdjGroupVB" localSheetId="4">'ADAC|0365-00'!$I$39</definedName>
    <definedName name="AdjGroupVB" localSheetId="5">'ADAC|0450-00'!$I$39</definedName>
    <definedName name="AdjGroupVB" localSheetId="6">'ADAD|0450-00'!$I$39</definedName>
    <definedName name="AdjGroupVB" localSheetId="7">'ADAD|0456-00'!$I$39</definedName>
    <definedName name="AdjGroupVB" localSheetId="8">'ADAK|0461-00'!$I$39</definedName>
    <definedName name="AdjGroupVB" localSheetId="9">'ADAK|0462-00'!$I$39</definedName>
    <definedName name="AdjGroupVB" localSheetId="10">'ADAK|0519-00'!$I$39</definedName>
    <definedName name="AdjGroupVB" localSheetId="11">'ADAM|0001-00'!$I$39</definedName>
    <definedName name="AdjGroupVB" localSheetId="12">'ADAM|0450-00'!$I$39</definedName>
    <definedName name="AdjGroupVB" localSheetId="13">'ADAN|0456-00'!$I$39</definedName>
    <definedName name="AdjGroupVB" localSheetId="14">'ADAN|0461-00'!$I$39</definedName>
    <definedName name="AdjGroupVB" localSheetId="15">'ADAN|0462-00'!$I$39</definedName>
    <definedName name="AdjGroupVB">'B6'!$I$39</definedName>
    <definedName name="AdjGroupVBBY" localSheetId="0">'ADAA|0001-00'!$M$39</definedName>
    <definedName name="AdjGroupVBBY" localSheetId="1">'ADAA|0365-00'!$M$39</definedName>
    <definedName name="AdjGroupVBBY" localSheetId="2">'ADAA|0450-00'!$M$39</definedName>
    <definedName name="AdjGroupVBBY" localSheetId="3">'ADAA|0519-00'!$M$39</definedName>
    <definedName name="AdjGroupVBBY" localSheetId="4">'ADAC|0365-00'!$M$39</definedName>
    <definedName name="AdjGroupVBBY" localSheetId="5">'ADAC|0450-00'!$M$39</definedName>
    <definedName name="AdjGroupVBBY" localSheetId="6">'ADAD|0450-00'!$M$39</definedName>
    <definedName name="AdjGroupVBBY" localSheetId="7">'ADAD|0456-00'!$M$39</definedName>
    <definedName name="AdjGroupVBBY" localSheetId="8">'ADAK|0461-00'!$M$39</definedName>
    <definedName name="AdjGroupVBBY" localSheetId="9">'ADAK|0462-00'!$M$39</definedName>
    <definedName name="AdjGroupVBBY" localSheetId="10">'ADAK|0519-00'!$M$39</definedName>
    <definedName name="AdjGroupVBBY" localSheetId="11">'ADAM|0001-00'!$M$39</definedName>
    <definedName name="AdjGroupVBBY" localSheetId="12">'ADAM|0450-00'!$M$39</definedName>
    <definedName name="AdjGroupVBBY" localSheetId="13">'ADAN|0456-00'!$M$39</definedName>
    <definedName name="AdjGroupVBBY" localSheetId="14">'ADAN|0461-00'!$M$39</definedName>
    <definedName name="AdjGroupVBBY" localSheetId="15">'ADAN|0462-00'!$M$39</definedName>
    <definedName name="AdjGroupVBBY">'B6'!$M$39</definedName>
    <definedName name="AdjPermHlth" localSheetId="0">'ADAA|0001-00'!$H$38</definedName>
    <definedName name="AdjPermHlth" localSheetId="1">'ADAA|0365-00'!$H$38</definedName>
    <definedName name="AdjPermHlth" localSheetId="2">'ADAA|0450-00'!$H$38</definedName>
    <definedName name="AdjPermHlth" localSheetId="3">'ADAA|0519-00'!$H$38</definedName>
    <definedName name="AdjPermHlth" localSheetId="4">'ADAC|0365-00'!$H$38</definedName>
    <definedName name="AdjPermHlth" localSheetId="5">'ADAC|0450-00'!$H$38</definedName>
    <definedName name="AdjPermHlth" localSheetId="6">'ADAD|0450-00'!$H$38</definedName>
    <definedName name="AdjPermHlth" localSheetId="7">'ADAD|0456-00'!$H$38</definedName>
    <definedName name="AdjPermHlth" localSheetId="8">'ADAK|0461-00'!$H$38</definedName>
    <definedName name="AdjPermHlth" localSheetId="9">'ADAK|0462-00'!$H$38</definedName>
    <definedName name="AdjPermHlth" localSheetId="10">'ADAK|0519-00'!$H$38</definedName>
    <definedName name="AdjPermHlth" localSheetId="11">'ADAM|0001-00'!$H$38</definedName>
    <definedName name="AdjPermHlth" localSheetId="12">'ADAM|0450-00'!$H$38</definedName>
    <definedName name="AdjPermHlth" localSheetId="13">'ADAN|0456-00'!$H$38</definedName>
    <definedName name="AdjPermHlth" localSheetId="14">'ADAN|0461-00'!$H$38</definedName>
    <definedName name="AdjPermHlth" localSheetId="15">'ADAN|0462-00'!$H$38</definedName>
    <definedName name="AdjPermHlth">'B6'!$H$38</definedName>
    <definedName name="AdjPermHlthBY" localSheetId="0">'ADAA|0001-00'!$L$38</definedName>
    <definedName name="AdjPermHlthBY" localSheetId="1">'ADAA|0365-00'!$L$38</definedName>
    <definedName name="AdjPermHlthBY" localSheetId="2">'ADAA|0450-00'!$L$38</definedName>
    <definedName name="AdjPermHlthBY" localSheetId="3">'ADAA|0519-00'!$L$38</definedName>
    <definedName name="AdjPermHlthBY" localSheetId="4">'ADAC|0365-00'!$L$38</definedName>
    <definedName name="AdjPermHlthBY" localSheetId="5">'ADAC|0450-00'!$L$38</definedName>
    <definedName name="AdjPermHlthBY" localSheetId="6">'ADAD|0450-00'!$L$38</definedName>
    <definedName name="AdjPermHlthBY" localSheetId="7">'ADAD|0456-00'!$L$38</definedName>
    <definedName name="AdjPermHlthBY" localSheetId="8">'ADAK|0461-00'!$L$38</definedName>
    <definedName name="AdjPermHlthBY" localSheetId="9">'ADAK|0462-00'!$L$38</definedName>
    <definedName name="AdjPermHlthBY" localSheetId="10">'ADAK|0519-00'!$L$38</definedName>
    <definedName name="AdjPermHlthBY" localSheetId="11">'ADAM|0001-00'!$L$38</definedName>
    <definedName name="AdjPermHlthBY" localSheetId="12">'ADAM|0450-00'!$L$38</definedName>
    <definedName name="AdjPermHlthBY" localSheetId="13">'ADAN|0456-00'!$L$38</definedName>
    <definedName name="AdjPermHlthBY" localSheetId="14">'ADAN|0461-00'!$L$38</definedName>
    <definedName name="AdjPermHlthBY" localSheetId="15">'ADAN|0462-00'!$L$38</definedName>
    <definedName name="AdjPermHlthBY">'B6'!$L$38</definedName>
    <definedName name="AdjPermSalary" localSheetId="0">'ADAA|0001-00'!$G$38</definedName>
    <definedName name="AdjPermSalary" localSheetId="1">'ADAA|0365-00'!$G$38</definedName>
    <definedName name="AdjPermSalary" localSheetId="2">'ADAA|0450-00'!$G$38</definedName>
    <definedName name="AdjPermSalary" localSheetId="3">'ADAA|0519-00'!$G$38</definedName>
    <definedName name="AdjPermSalary" localSheetId="4">'ADAC|0365-00'!$G$38</definedName>
    <definedName name="AdjPermSalary" localSheetId="5">'ADAC|0450-00'!$G$38</definedName>
    <definedName name="AdjPermSalary" localSheetId="6">'ADAD|0450-00'!$G$38</definedName>
    <definedName name="AdjPermSalary" localSheetId="7">'ADAD|0456-00'!$G$38</definedName>
    <definedName name="AdjPermSalary" localSheetId="8">'ADAK|0461-00'!$G$38</definedName>
    <definedName name="AdjPermSalary" localSheetId="9">'ADAK|0462-00'!$G$38</definedName>
    <definedName name="AdjPermSalary" localSheetId="10">'ADAK|0519-00'!$G$38</definedName>
    <definedName name="AdjPermSalary" localSheetId="11">'ADAM|0001-00'!$G$38</definedName>
    <definedName name="AdjPermSalary" localSheetId="12">'ADAM|0450-00'!$G$38</definedName>
    <definedName name="AdjPermSalary" localSheetId="13">'ADAN|0456-00'!$G$38</definedName>
    <definedName name="AdjPermSalary" localSheetId="14">'ADAN|0461-00'!$G$38</definedName>
    <definedName name="AdjPermSalary" localSheetId="15">'ADAN|0462-00'!$G$38</definedName>
    <definedName name="AdjPermSalary">'B6'!$G$38</definedName>
    <definedName name="AdjPermVB" localSheetId="0">'ADAA|0001-00'!$I$38</definedName>
    <definedName name="AdjPermVB" localSheetId="1">'ADAA|0365-00'!$I$38</definedName>
    <definedName name="AdjPermVB" localSheetId="2">'ADAA|0450-00'!$I$38</definedName>
    <definedName name="AdjPermVB" localSheetId="3">'ADAA|0519-00'!$I$38</definedName>
    <definedName name="AdjPermVB" localSheetId="4">'ADAC|0365-00'!$I$38</definedName>
    <definedName name="AdjPermVB" localSheetId="5">'ADAC|0450-00'!$I$38</definedName>
    <definedName name="AdjPermVB" localSheetId="6">'ADAD|0450-00'!$I$38</definedName>
    <definedName name="AdjPermVB" localSheetId="7">'ADAD|0456-00'!$I$38</definedName>
    <definedName name="AdjPermVB" localSheetId="8">'ADAK|0461-00'!$I$38</definedName>
    <definedName name="AdjPermVB" localSheetId="9">'ADAK|0462-00'!$I$38</definedName>
    <definedName name="AdjPermVB" localSheetId="10">'ADAK|0519-00'!$I$38</definedName>
    <definedName name="AdjPermVB" localSheetId="11">'ADAM|0001-00'!$I$38</definedName>
    <definedName name="AdjPermVB" localSheetId="12">'ADAM|0450-00'!$I$38</definedName>
    <definedName name="AdjPermVB" localSheetId="13">'ADAN|0456-00'!$I$38</definedName>
    <definedName name="AdjPermVB" localSheetId="14">'ADAN|0461-00'!$I$38</definedName>
    <definedName name="AdjPermVB" localSheetId="15">'ADAN|0462-00'!$I$38</definedName>
    <definedName name="AdjPermVB">'B6'!$I$38</definedName>
    <definedName name="AdjPermVBBY" localSheetId="0">'ADAA|0001-00'!$M$38</definedName>
    <definedName name="AdjPermVBBY" localSheetId="1">'ADAA|0365-00'!$M$38</definedName>
    <definedName name="AdjPermVBBY" localSheetId="2">'ADAA|0450-00'!$M$38</definedName>
    <definedName name="AdjPermVBBY" localSheetId="3">'ADAA|0519-00'!$M$38</definedName>
    <definedName name="AdjPermVBBY" localSheetId="4">'ADAC|0365-00'!$M$38</definedName>
    <definedName name="AdjPermVBBY" localSheetId="5">'ADAC|0450-00'!$M$38</definedName>
    <definedName name="AdjPermVBBY" localSheetId="6">'ADAD|0450-00'!$M$38</definedName>
    <definedName name="AdjPermVBBY" localSheetId="7">'ADAD|0456-00'!$M$38</definedName>
    <definedName name="AdjPermVBBY" localSheetId="8">'ADAK|0461-00'!$M$38</definedName>
    <definedName name="AdjPermVBBY" localSheetId="9">'ADAK|0462-00'!$M$38</definedName>
    <definedName name="AdjPermVBBY" localSheetId="10">'ADAK|0519-00'!$M$38</definedName>
    <definedName name="AdjPermVBBY" localSheetId="11">'ADAM|0001-00'!$M$38</definedName>
    <definedName name="AdjPermVBBY" localSheetId="12">'ADAM|0450-00'!$M$38</definedName>
    <definedName name="AdjPermVBBY" localSheetId="13">'ADAN|0456-00'!$M$38</definedName>
    <definedName name="AdjPermVBBY" localSheetId="14">'ADAN|0461-00'!$M$38</definedName>
    <definedName name="AdjPermVBBY" localSheetId="15">'ADAN|0462-00'!$M$38</definedName>
    <definedName name="AdjPermVBBY">'B6'!$M$38</definedName>
    <definedName name="AdjustedTotal" localSheetId="0">'ADAA|0001-00'!$J$16</definedName>
    <definedName name="AdjustedTotal" localSheetId="1">'ADAA|0365-00'!$J$16</definedName>
    <definedName name="AdjustedTotal" localSheetId="2">'ADAA|0450-00'!$J$16</definedName>
    <definedName name="AdjustedTotal" localSheetId="3">'ADAA|0519-00'!$J$16</definedName>
    <definedName name="AdjustedTotal" localSheetId="4">'ADAC|0365-00'!$J$16</definedName>
    <definedName name="AdjustedTotal" localSheetId="5">'ADAC|0450-00'!$J$16</definedName>
    <definedName name="AdjustedTotal" localSheetId="6">'ADAD|0450-00'!$J$16</definedName>
    <definedName name="AdjustedTotal" localSheetId="7">'ADAD|0456-00'!$J$16</definedName>
    <definedName name="AdjustedTotal" localSheetId="8">'ADAK|0461-00'!$J$16</definedName>
    <definedName name="AdjustedTotal" localSheetId="9">'ADAK|0462-00'!$J$16</definedName>
    <definedName name="AdjustedTotal" localSheetId="10">'ADAK|0519-00'!$J$16</definedName>
    <definedName name="AdjustedTotal" localSheetId="11">'ADAM|0001-00'!$J$16</definedName>
    <definedName name="AdjustedTotal" localSheetId="12">'ADAM|0450-00'!$J$16</definedName>
    <definedName name="AdjustedTotal" localSheetId="13">'ADAN|0456-00'!$J$16</definedName>
    <definedName name="AdjustedTotal" localSheetId="14">'ADAN|0461-00'!$J$16</definedName>
    <definedName name="AdjustedTotal" localSheetId="15">'ADAN|0462-00'!$J$16</definedName>
    <definedName name="AdjustedTotal">'B6'!$J$16</definedName>
    <definedName name="AgencyNum" localSheetId="0">'ADAA|0001-00'!$M$1</definedName>
    <definedName name="AgencyNum" localSheetId="1">'ADAA|0365-00'!$M$1</definedName>
    <definedName name="AgencyNum" localSheetId="2">'ADAA|0450-00'!$M$1</definedName>
    <definedName name="AgencyNum" localSheetId="3">'ADAA|0519-00'!$M$1</definedName>
    <definedName name="AgencyNum" localSheetId="4">'ADAC|0365-00'!$M$1</definedName>
    <definedName name="AgencyNum" localSheetId="5">'ADAC|0450-00'!$M$1</definedName>
    <definedName name="AgencyNum" localSheetId="6">'ADAD|0450-00'!$M$1</definedName>
    <definedName name="AgencyNum" localSheetId="7">'ADAD|0456-00'!$M$1</definedName>
    <definedName name="AgencyNum" localSheetId="8">'ADAK|0461-00'!$M$1</definedName>
    <definedName name="AgencyNum" localSheetId="9">'ADAK|0462-00'!$M$1</definedName>
    <definedName name="AgencyNum" localSheetId="10">'ADAK|0519-00'!$M$1</definedName>
    <definedName name="AgencyNum" localSheetId="11">'ADAM|0001-00'!$M$1</definedName>
    <definedName name="AgencyNum" localSheetId="12">'ADAM|0450-00'!$M$1</definedName>
    <definedName name="AgencyNum" localSheetId="13">'ADAN|0456-00'!$M$1</definedName>
    <definedName name="AgencyNum" localSheetId="14">'ADAN|0461-00'!$M$1</definedName>
    <definedName name="AgencyNum" localSheetId="15">'ADAN|0462-00'!$M$1</definedName>
    <definedName name="AgencyNum">'B6'!$M$1</definedName>
    <definedName name="AppropFTP" localSheetId="0">'ADAA|0001-00'!$F$15</definedName>
    <definedName name="AppropFTP" localSheetId="1">'ADAA|0365-00'!$F$15</definedName>
    <definedName name="AppropFTP" localSheetId="2">'ADAA|0450-00'!$F$15</definedName>
    <definedName name="AppropFTP" localSheetId="3">'ADAA|0519-00'!$F$15</definedName>
    <definedName name="AppropFTP" localSheetId="4">'ADAC|0365-00'!$F$15</definedName>
    <definedName name="AppropFTP" localSheetId="5">'ADAC|0450-00'!$F$15</definedName>
    <definedName name="AppropFTP" localSheetId="6">'ADAD|0450-00'!$F$15</definedName>
    <definedName name="AppropFTP" localSheetId="7">'ADAD|0456-00'!$F$15</definedName>
    <definedName name="AppropFTP" localSheetId="8">'ADAK|0461-00'!$F$15</definedName>
    <definedName name="AppropFTP" localSheetId="9">'ADAK|0462-00'!$F$15</definedName>
    <definedName name="AppropFTP" localSheetId="10">'ADAK|0519-00'!$F$15</definedName>
    <definedName name="AppropFTP" localSheetId="11">'ADAM|0001-00'!$F$15</definedName>
    <definedName name="AppropFTP" localSheetId="12">'ADAM|0450-00'!$F$15</definedName>
    <definedName name="AppropFTP" localSheetId="13">'ADAN|0456-00'!$F$15</definedName>
    <definedName name="AppropFTP" localSheetId="14">'ADAN|0461-00'!$F$15</definedName>
    <definedName name="AppropFTP" localSheetId="15">'ADAN|0462-00'!$F$15</definedName>
    <definedName name="AppropFTP">'B6'!$F$15</definedName>
    <definedName name="AppropTotal" localSheetId="0">'ADAA|0001-00'!$J$15</definedName>
    <definedName name="AppropTotal" localSheetId="1">'ADAA|0365-00'!$J$15</definedName>
    <definedName name="AppropTotal" localSheetId="2">'ADAA|0450-00'!$J$15</definedName>
    <definedName name="AppropTotal" localSheetId="3">'ADAA|0519-00'!$J$15</definedName>
    <definedName name="AppropTotal" localSheetId="4">'ADAC|0365-00'!$J$15</definedName>
    <definedName name="AppropTotal" localSheetId="5">'ADAC|0450-00'!$J$15</definedName>
    <definedName name="AppropTotal" localSheetId="6">'ADAD|0450-00'!$J$15</definedName>
    <definedName name="AppropTotal" localSheetId="7">'ADAD|0456-00'!$J$15</definedName>
    <definedName name="AppropTotal" localSheetId="8">'ADAK|0461-00'!$J$15</definedName>
    <definedName name="AppropTotal" localSheetId="9">'ADAK|0462-00'!$J$15</definedName>
    <definedName name="AppropTotal" localSheetId="10">'ADAK|0519-00'!$J$15</definedName>
    <definedName name="AppropTotal" localSheetId="11">'ADAM|0001-00'!$J$15</definedName>
    <definedName name="AppropTotal" localSheetId="12">'ADAM|0450-00'!$J$15</definedName>
    <definedName name="AppropTotal" localSheetId="13">'ADAN|0456-00'!$J$15</definedName>
    <definedName name="AppropTotal" localSheetId="14">'ADAN|0461-00'!$J$15</definedName>
    <definedName name="AppropTotal" localSheetId="15">'ADAN|0462-00'!$J$15</definedName>
    <definedName name="AppropTotal">'B6'!$J$15</definedName>
    <definedName name="AtZHealth" localSheetId="0">'ADAA|0001-00'!$H$45</definedName>
    <definedName name="AtZHealth" localSheetId="1">'ADAA|0365-00'!$H$45</definedName>
    <definedName name="AtZHealth" localSheetId="2">'ADAA|0450-00'!$H$45</definedName>
    <definedName name="AtZHealth" localSheetId="3">'ADAA|0519-00'!$H$45</definedName>
    <definedName name="AtZHealth" localSheetId="4">'ADAC|0365-00'!$H$45</definedName>
    <definedName name="AtZHealth" localSheetId="5">'ADAC|0450-00'!$H$45</definedName>
    <definedName name="AtZHealth" localSheetId="6">'ADAD|0450-00'!$H$45</definedName>
    <definedName name="AtZHealth" localSheetId="7">'ADAD|0456-00'!$H$45</definedName>
    <definedName name="AtZHealth" localSheetId="8">'ADAK|0461-00'!$H$45</definedName>
    <definedName name="AtZHealth" localSheetId="9">'ADAK|0462-00'!$H$45</definedName>
    <definedName name="AtZHealth" localSheetId="10">'ADAK|0519-00'!$H$45</definedName>
    <definedName name="AtZHealth" localSheetId="11">'ADAM|0001-00'!$H$45</definedName>
    <definedName name="AtZHealth" localSheetId="12">'ADAM|0450-00'!$H$45</definedName>
    <definedName name="AtZHealth" localSheetId="13">'ADAN|0456-00'!$H$45</definedName>
    <definedName name="AtZHealth" localSheetId="14">'ADAN|0461-00'!$H$45</definedName>
    <definedName name="AtZHealth" localSheetId="15">'ADAN|0462-00'!$H$45</definedName>
    <definedName name="AtZHealth">'B6'!$H$45</definedName>
    <definedName name="AtZSalary" localSheetId="0">'ADAA|0001-00'!$G$45</definedName>
    <definedName name="AtZSalary" localSheetId="1">'ADAA|0365-00'!$G$45</definedName>
    <definedName name="AtZSalary" localSheetId="2">'ADAA|0450-00'!$G$45</definedName>
    <definedName name="AtZSalary" localSheetId="3">'ADAA|0519-00'!$G$45</definedName>
    <definedName name="AtZSalary" localSheetId="4">'ADAC|0365-00'!$G$45</definedName>
    <definedName name="AtZSalary" localSheetId="5">'ADAC|0450-00'!$G$45</definedName>
    <definedName name="AtZSalary" localSheetId="6">'ADAD|0450-00'!$G$45</definedName>
    <definedName name="AtZSalary" localSheetId="7">'ADAD|0456-00'!$G$45</definedName>
    <definedName name="AtZSalary" localSheetId="8">'ADAK|0461-00'!$G$45</definedName>
    <definedName name="AtZSalary" localSheetId="9">'ADAK|0462-00'!$G$45</definedName>
    <definedName name="AtZSalary" localSheetId="10">'ADAK|0519-00'!$G$45</definedName>
    <definedName name="AtZSalary" localSheetId="11">'ADAM|0001-00'!$G$45</definedName>
    <definedName name="AtZSalary" localSheetId="12">'ADAM|0450-00'!$G$45</definedName>
    <definedName name="AtZSalary" localSheetId="13">'ADAN|0456-00'!$G$45</definedName>
    <definedName name="AtZSalary" localSheetId="14">'ADAN|0461-00'!$G$45</definedName>
    <definedName name="AtZSalary" localSheetId="15">'ADAN|0462-00'!$G$45</definedName>
    <definedName name="AtZSalary">'B6'!$G$45</definedName>
    <definedName name="AtZTotal" localSheetId="0">'ADAA|0001-00'!$J$45</definedName>
    <definedName name="AtZTotal" localSheetId="1">'ADAA|0365-00'!$J$45</definedName>
    <definedName name="AtZTotal" localSheetId="2">'ADAA|0450-00'!$J$45</definedName>
    <definedName name="AtZTotal" localSheetId="3">'ADAA|0519-00'!$J$45</definedName>
    <definedName name="AtZTotal" localSheetId="4">'ADAC|0365-00'!$J$45</definedName>
    <definedName name="AtZTotal" localSheetId="5">'ADAC|0450-00'!$J$45</definedName>
    <definedName name="AtZTotal" localSheetId="6">'ADAD|0450-00'!$J$45</definedName>
    <definedName name="AtZTotal" localSheetId="7">'ADAD|0456-00'!$J$45</definedName>
    <definedName name="AtZTotal" localSheetId="8">'ADAK|0461-00'!$J$45</definedName>
    <definedName name="AtZTotal" localSheetId="9">'ADAK|0462-00'!$J$45</definedName>
    <definedName name="AtZTotal" localSheetId="10">'ADAK|0519-00'!$J$45</definedName>
    <definedName name="AtZTotal" localSheetId="11">'ADAM|0001-00'!$J$45</definedName>
    <definedName name="AtZTotal" localSheetId="12">'ADAM|0450-00'!$J$45</definedName>
    <definedName name="AtZTotal" localSheetId="13">'ADAN|0456-00'!$J$45</definedName>
    <definedName name="AtZTotal" localSheetId="14">'ADAN|0461-00'!$J$45</definedName>
    <definedName name="AtZTotal" localSheetId="15">'ADAN|0462-00'!$J$45</definedName>
    <definedName name="AtZTotal">'B6'!$J$45</definedName>
    <definedName name="AtZVarBen" localSheetId="0">'ADAA|0001-00'!$I$45</definedName>
    <definedName name="AtZVarBen" localSheetId="1">'ADAA|0365-00'!$I$45</definedName>
    <definedName name="AtZVarBen" localSheetId="2">'ADAA|0450-00'!$I$45</definedName>
    <definedName name="AtZVarBen" localSheetId="3">'ADAA|0519-00'!$I$45</definedName>
    <definedName name="AtZVarBen" localSheetId="4">'ADAC|0365-00'!$I$45</definedName>
    <definedName name="AtZVarBen" localSheetId="5">'ADAC|0450-00'!$I$45</definedName>
    <definedName name="AtZVarBen" localSheetId="6">'ADAD|0450-00'!$I$45</definedName>
    <definedName name="AtZVarBen" localSheetId="7">'ADAD|0456-00'!$I$45</definedName>
    <definedName name="AtZVarBen" localSheetId="8">'ADAK|0461-00'!$I$45</definedName>
    <definedName name="AtZVarBen" localSheetId="9">'ADAK|0462-00'!$I$45</definedName>
    <definedName name="AtZVarBen" localSheetId="10">'ADAK|0519-00'!$I$45</definedName>
    <definedName name="AtZVarBen" localSheetId="11">'ADAM|0001-00'!$I$45</definedName>
    <definedName name="AtZVarBen" localSheetId="12">'ADAM|0450-00'!$I$45</definedName>
    <definedName name="AtZVarBen" localSheetId="13">'ADAN|0456-00'!$I$45</definedName>
    <definedName name="AtZVarBen" localSheetId="14">'ADAN|0461-00'!$I$45</definedName>
    <definedName name="AtZVarBen" localSheetId="15">'ADAN|0462-00'!$I$45</definedName>
    <definedName name="AtZVarBen">'B6'!$I$45</definedName>
    <definedName name="BudgetUnit" localSheetId="0">'ADAA|0001-00'!$M$3</definedName>
    <definedName name="BudgetUnit" localSheetId="1">'ADAA|0365-00'!$M$3</definedName>
    <definedName name="BudgetUnit" localSheetId="2">'ADAA|0450-00'!$M$3</definedName>
    <definedName name="BudgetUnit" localSheetId="3">'ADAA|0519-00'!$M$3</definedName>
    <definedName name="BudgetUnit" localSheetId="4">'ADAC|0365-00'!$M$3</definedName>
    <definedName name="BudgetUnit" localSheetId="5">'ADAC|0450-00'!$M$3</definedName>
    <definedName name="BudgetUnit" localSheetId="6">'ADAD|0450-00'!$M$3</definedName>
    <definedName name="BudgetUnit" localSheetId="7">'ADAD|0456-00'!$M$3</definedName>
    <definedName name="BudgetUnit" localSheetId="8">'ADAK|0461-00'!$M$3</definedName>
    <definedName name="BudgetUnit" localSheetId="9">'ADAK|0462-00'!$M$3</definedName>
    <definedName name="BudgetUnit" localSheetId="10">'ADAK|0519-00'!$M$3</definedName>
    <definedName name="BudgetUnit" localSheetId="11">'ADAM|0001-00'!$M$3</definedName>
    <definedName name="BudgetUnit" localSheetId="12">'ADAM|0450-00'!$M$3</definedName>
    <definedName name="BudgetUnit" localSheetId="13">'ADAN|0456-00'!$M$3</definedName>
    <definedName name="BudgetUnit" localSheetId="14">'ADAN|0461-00'!$M$3</definedName>
    <definedName name="BudgetUnit" localSheetId="15">'ADAN|0462-00'!$M$3</definedName>
    <definedName name="BudgetUnit">'B6'!$M$3</definedName>
    <definedName name="BudgetYear">Benefits!$D$4</definedName>
    <definedName name="CECGroup">Benefits!$C$39</definedName>
    <definedName name="CECOrigElectSalary" localSheetId="0">'ADAA|0001-00'!$G$74</definedName>
    <definedName name="CECOrigElectSalary" localSheetId="1">'ADAA|0365-00'!$G$74</definedName>
    <definedName name="CECOrigElectSalary" localSheetId="2">'ADAA|0450-00'!$G$74</definedName>
    <definedName name="CECOrigElectSalary" localSheetId="3">'ADAA|0519-00'!$G$74</definedName>
    <definedName name="CECOrigElectSalary" localSheetId="4">'ADAC|0365-00'!$G$74</definedName>
    <definedName name="CECOrigElectSalary" localSheetId="5">'ADAC|0450-00'!$G$74</definedName>
    <definedName name="CECOrigElectSalary" localSheetId="6">'ADAD|0450-00'!$G$74</definedName>
    <definedName name="CECOrigElectSalary" localSheetId="7">'ADAD|0456-00'!$G$74</definedName>
    <definedName name="CECOrigElectSalary" localSheetId="8">'ADAK|0461-00'!$G$74</definedName>
    <definedName name="CECOrigElectSalary" localSheetId="9">'ADAK|0462-00'!$G$74</definedName>
    <definedName name="CECOrigElectSalary" localSheetId="10">'ADAK|0519-00'!$G$74</definedName>
    <definedName name="CECOrigElectSalary" localSheetId="11">'ADAM|0001-00'!$G$74</definedName>
    <definedName name="CECOrigElectSalary" localSheetId="12">'ADAM|0450-00'!$G$74</definedName>
    <definedName name="CECOrigElectSalary" localSheetId="13">'ADAN|0456-00'!$G$74</definedName>
    <definedName name="CECOrigElectSalary" localSheetId="14">'ADAN|0461-00'!$G$74</definedName>
    <definedName name="CECOrigElectSalary" localSheetId="15">'ADAN|0462-00'!$G$74</definedName>
    <definedName name="CECOrigElectSalary">'B6'!$G$74</definedName>
    <definedName name="CECOrigElectVB" localSheetId="0">'ADAA|0001-00'!$I$74</definedName>
    <definedName name="CECOrigElectVB" localSheetId="1">'ADAA|0365-00'!$I$74</definedName>
    <definedName name="CECOrigElectVB" localSheetId="2">'ADAA|0450-00'!$I$74</definedName>
    <definedName name="CECOrigElectVB" localSheetId="3">'ADAA|0519-00'!$I$74</definedName>
    <definedName name="CECOrigElectVB" localSheetId="4">'ADAC|0365-00'!$I$74</definedName>
    <definedName name="CECOrigElectVB" localSheetId="5">'ADAC|0450-00'!$I$74</definedName>
    <definedName name="CECOrigElectVB" localSheetId="6">'ADAD|0450-00'!$I$74</definedName>
    <definedName name="CECOrigElectVB" localSheetId="7">'ADAD|0456-00'!$I$74</definedName>
    <definedName name="CECOrigElectVB" localSheetId="8">'ADAK|0461-00'!$I$74</definedName>
    <definedName name="CECOrigElectVB" localSheetId="9">'ADAK|0462-00'!$I$74</definedName>
    <definedName name="CECOrigElectVB" localSheetId="10">'ADAK|0519-00'!$I$74</definedName>
    <definedName name="CECOrigElectVB" localSheetId="11">'ADAM|0001-00'!$I$74</definedName>
    <definedName name="CECOrigElectVB" localSheetId="12">'ADAM|0450-00'!$I$74</definedName>
    <definedName name="CECOrigElectVB" localSheetId="13">'ADAN|0456-00'!$I$74</definedName>
    <definedName name="CECOrigElectVB" localSheetId="14">'ADAN|0461-00'!$I$74</definedName>
    <definedName name="CECOrigElectVB" localSheetId="15">'ADAN|0462-00'!$I$74</definedName>
    <definedName name="CECOrigElectVB">'B6'!$I$74</definedName>
    <definedName name="CECOrigGroupSalary" localSheetId="0">'ADAA|0001-00'!$G$73</definedName>
    <definedName name="CECOrigGroupSalary" localSheetId="1">'ADAA|0365-00'!$G$73</definedName>
    <definedName name="CECOrigGroupSalary" localSheetId="2">'ADAA|0450-00'!$G$73</definedName>
    <definedName name="CECOrigGroupSalary" localSheetId="3">'ADAA|0519-00'!$G$73</definedName>
    <definedName name="CECOrigGroupSalary" localSheetId="4">'ADAC|0365-00'!$G$73</definedName>
    <definedName name="CECOrigGroupSalary" localSheetId="5">'ADAC|0450-00'!$G$73</definedName>
    <definedName name="CECOrigGroupSalary" localSheetId="6">'ADAD|0450-00'!$G$73</definedName>
    <definedName name="CECOrigGroupSalary" localSheetId="7">'ADAD|0456-00'!$G$73</definedName>
    <definedName name="CECOrigGroupSalary" localSheetId="8">'ADAK|0461-00'!$G$73</definedName>
    <definedName name="CECOrigGroupSalary" localSheetId="9">'ADAK|0462-00'!$G$73</definedName>
    <definedName name="CECOrigGroupSalary" localSheetId="10">'ADAK|0519-00'!$G$73</definedName>
    <definedName name="CECOrigGroupSalary" localSheetId="11">'ADAM|0001-00'!$G$73</definedName>
    <definedName name="CECOrigGroupSalary" localSheetId="12">'ADAM|0450-00'!$G$73</definedName>
    <definedName name="CECOrigGroupSalary" localSheetId="13">'ADAN|0456-00'!$G$73</definedName>
    <definedName name="CECOrigGroupSalary" localSheetId="14">'ADAN|0461-00'!$G$73</definedName>
    <definedName name="CECOrigGroupSalary" localSheetId="15">'ADAN|0462-00'!$G$73</definedName>
    <definedName name="CECOrigGroupSalary">'B6'!$G$73</definedName>
    <definedName name="CECOrigGroupVB" localSheetId="0">'ADAA|0001-00'!$I$73</definedName>
    <definedName name="CECOrigGroupVB" localSheetId="1">'ADAA|0365-00'!$I$73</definedName>
    <definedName name="CECOrigGroupVB" localSheetId="2">'ADAA|0450-00'!$I$73</definedName>
    <definedName name="CECOrigGroupVB" localSheetId="3">'ADAA|0519-00'!$I$73</definedName>
    <definedName name="CECOrigGroupVB" localSheetId="4">'ADAC|0365-00'!$I$73</definedName>
    <definedName name="CECOrigGroupVB" localSheetId="5">'ADAC|0450-00'!$I$73</definedName>
    <definedName name="CECOrigGroupVB" localSheetId="6">'ADAD|0450-00'!$I$73</definedName>
    <definedName name="CECOrigGroupVB" localSheetId="7">'ADAD|0456-00'!$I$73</definedName>
    <definedName name="CECOrigGroupVB" localSheetId="8">'ADAK|0461-00'!$I$73</definedName>
    <definedName name="CECOrigGroupVB" localSheetId="9">'ADAK|0462-00'!$I$73</definedName>
    <definedName name="CECOrigGroupVB" localSheetId="10">'ADAK|0519-00'!$I$73</definedName>
    <definedName name="CECOrigGroupVB" localSheetId="11">'ADAM|0001-00'!$I$73</definedName>
    <definedName name="CECOrigGroupVB" localSheetId="12">'ADAM|0450-00'!$I$73</definedName>
    <definedName name="CECOrigGroupVB" localSheetId="13">'ADAN|0456-00'!$I$73</definedName>
    <definedName name="CECOrigGroupVB" localSheetId="14">'ADAN|0461-00'!$I$73</definedName>
    <definedName name="CECOrigGroupVB" localSheetId="15">'ADAN|0462-00'!$I$73</definedName>
    <definedName name="CECOrigGroupVB">'B6'!$I$73</definedName>
    <definedName name="CECOrigPermSalary" localSheetId="0">'ADAA|0001-00'!$G$72</definedName>
    <definedName name="CECOrigPermSalary" localSheetId="1">'ADAA|0365-00'!$G$72</definedName>
    <definedName name="CECOrigPermSalary" localSheetId="2">'ADAA|0450-00'!$G$72</definedName>
    <definedName name="CECOrigPermSalary" localSheetId="3">'ADAA|0519-00'!$G$72</definedName>
    <definedName name="CECOrigPermSalary" localSheetId="4">'ADAC|0365-00'!$G$72</definedName>
    <definedName name="CECOrigPermSalary" localSheetId="5">'ADAC|0450-00'!$G$72</definedName>
    <definedName name="CECOrigPermSalary" localSheetId="6">'ADAD|0450-00'!$G$72</definedName>
    <definedName name="CECOrigPermSalary" localSheetId="7">'ADAD|0456-00'!$G$72</definedName>
    <definedName name="CECOrigPermSalary" localSheetId="8">'ADAK|0461-00'!$G$72</definedName>
    <definedName name="CECOrigPermSalary" localSheetId="9">'ADAK|0462-00'!$G$72</definedName>
    <definedName name="CECOrigPermSalary" localSheetId="10">'ADAK|0519-00'!$G$72</definedName>
    <definedName name="CECOrigPermSalary" localSheetId="11">'ADAM|0001-00'!$G$72</definedName>
    <definedName name="CECOrigPermSalary" localSheetId="12">'ADAM|0450-00'!$G$72</definedName>
    <definedName name="CECOrigPermSalary" localSheetId="13">'ADAN|0456-00'!$G$72</definedName>
    <definedName name="CECOrigPermSalary" localSheetId="14">'ADAN|0461-00'!$G$72</definedName>
    <definedName name="CECOrigPermSalary" localSheetId="15">'ADAN|0462-00'!$G$72</definedName>
    <definedName name="CECOrigPermSalary">'B6'!$G$72</definedName>
    <definedName name="CECOrigPermVB" localSheetId="0">'ADAA|0001-00'!$I$72</definedName>
    <definedName name="CECOrigPermVB" localSheetId="1">'ADAA|0365-00'!$I$72</definedName>
    <definedName name="CECOrigPermVB" localSheetId="2">'ADAA|0450-00'!$I$72</definedName>
    <definedName name="CECOrigPermVB" localSheetId="3">'ADAA|0519-00'!$I$72</definedName>
    <definedName name="CECOrigPermVB" localSheetId="4">'ADAC|0365-00'!$I$72</definedName>
    <definedName name="CECOrigPermVB" localSheetId="5">'ADAC|0450-00'!$I$72</definedName>
    <definedName name="CECOrigPermVB" localSheetId="6">'ADAD|0450-00'!$I$72</definedName>
    <definedName name="CECOrigPermVB" localSheetId="7">'ADAD|0456-00'!$I$72</definedName>
    <definedName name="CECOrigPermVB" localSheetId="8">'ADAK|0461-00'!$I$72</definedName>
    <definedName name="CECOrigPermVB" localSheetId="9">'ADAK|0462-00'!$I$72</definedName>
    <definedName name="CECOrigPermVB" localSheetId="10">'ADAK|0519-00'!$I$72</definedName>
    <definedName name="CECOrigPermVB" localSheetId="11">'ADAM|0001-00'!$I$72</definedName>
    <definedName name="CECOrigPermVB" localSheetId="12">'ADAM|0450-00'!$I$72</definedName>
    <definedName name="CECOrigPermVB" localSheetId="13">'ADAN|0456-00'!$I$72</definedName>
    <definedName name="CECOrigPermVB" localSheetId="14">'ADAN|0461-00'!$I$72</definedName>
    <definedName name="CECOrigPermVB" localSheetId="15">'ADAN|0462-00'!$I$72</definedName>
    <definedName name="CECOrigPermVB">'B6'!$I$72</definedName>
    <definedName name="CECPerm">Benefits!$C$38</definedName>
    <definedName name="CECpermCalc" localSheetId="0">'ADAA|0001-00'!$E$72</definedName>
    <definedName name="CECpermCalc" localSheetId="1">'ADAA|0365-00'!$E$72</definedName>
    <definedName name="CECpermCalc" localSheetId="2">'ADAA|0450-00'!$E$72</definedName>
    <definedName name="CECpermCalc" localSheetId="3">'ADAA|0519-00'!$E$72</definedName>
    <definedName name="CECpermCalc" localSheetId="4">'ADAC|0365-00'!$E$72</definedName>
    <definedName name="CECpermCalc" localSheetId="5">'ADAC|0450-00'!$E$72</definedName>
    <definedName name="CECpermCalc" localSheetId="6">'ADAD|0450-00'!$E$72</definedName>
    <definedName name="CECpermCalc" localSheetId="7">'ADAD|0456-00'!$E$72</definedName>
    <definedName name="CECpermCalc" localSheetId="8">'ADAK|0461-00'!$E$72</definedName>
    <definedName name="CECpermCalc" localSheetId="9">'ADAK|0462-00'!$E$72</definedName>
    <definedName name="CECpermCalc" localSheetId="10">'ADAK|0519-00'!$E$72</definedName>
    <definedName name="CECpermCalc" localSheetId="11">'ADAM|0001-00'!$E$72</definedName>
    <definedName name="CECpermCalc" localSheetId="12">'ADAM|0450-00'!$E$72</definedName>
    <definedName name="CECpermCalc" localSheetId="13">'ADAN|0456-00'!$E$72</definedName>
    <definedName name="CECpermCalc" localSheetId="14">'ADAN|0461-00'!$E$72</definedName>
    <definedName name="CECpermCalc" localSheetId="15">'ADAN|0462-00'!$E$72</definedName>
    <definedName name="CECpermCalc">'B6'!$E$72</definedName>
    <definedName name="Department" localSheetId="0">'ADAA|0001-00'!$D$1</definedName>
    <definedName name="Department" localSheetId="1">'ADAA|0365-00'!$D$1</definedName>
    <definedName name="Department" localSheetId="2">'ADAA|0450-00'!$D$1</definedName>
    <definedName name="Department" localSheetId="3">'ADAA|0519-00'!$D$1</definedName>
    <definedName name="Department" localSheetId="4">'ADAC|0365-00'!$D$1</definedName>
    <definedName name="Department" localSheetId="5">'ADAC|0450-00'!$D$1</definedName>
    <definedName name="Department" localSheetId="6">'ADAD|0450-00'!$D$1</definedName>
    <definedName name="Department" localSheetId="7">'ADAD|0456-00'!$D$1</definedName>
    <definedName name="Department" localSheetId="8">'ADAK|0461-00'!$D$1</definedName>
    <definedName name="Department" localSheetId="9">'ADAK|0462-00'!$D$1</definedName>
    <definedName name="Department" localSheetId="10">'ADAK|0519-00'!$D$1</definedName>
    <definedName name="Department" localSheetId="11">'ADAM|0001-00'!$D$1</definedName>
    <definedName name="Department" localSheetId="12">'ADAM|0450-00'!$D$1</definedName>
    <definedName name="Department" localSheetId="13">'ADAN|0456-00'!$D$1</definedName>
    <definedName name="Department" localSheetId="14">'ADAN|0461-00'!$D$1</definedName>
    <definedName name="Department" localSheetId="15">'ADAN|0462-00'!$D$1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'ADAA|0001-00'!$D$2</definedName>
    <definedName name="Division" localSheetId="1">'ADAA|0365-00'!$D$2</definedName>
    <definedName name="Division" localSheetId="2">'ADAA|0450-00'!$D$2</definedName>
    <definedName name="Division" localSheetId="3">'ADAA|0519-00'!$D$2</definedName>
    <definedName name="Division" localSheetId="4">'ADAC|0365-00'!$D$2</definedName>
    <definedName name="Division" localSheetId="5">'ADAC|0450-00'!$D$2</definedName>
    <definedName name="Division" localSheetId="6">'ADAD|0450-00'!$D$2</definedName>
    <definedName name="Division" localSheetId="7">'ADAD|0456-00'!$D$2</definedName>
    <definedName name="Division" localSheetId="8">'ADAK|0461-00'!$D$2</definedName>
    <definedName name="Division" localSheetId="9">'ADAK|0462-00'!$D$2</definedName>
    <definedName name="Division" localSheetId="10">'ADAK|0519-00'!$D$2</definedName>
    <definedName name="Division" localSheetId="11">'ADAM|0001-00'!$D$2</definedName>
    <definedName name="Division" localSheetId="12">'ADAM|0450-00'!$D$2</definedName>
    <definedName name="Division" localSheetId="13">'ADAN|0456-00'!$D$2</definedName>
    <definedName name="Division" localSheetId="14">'ADAN|0461-00'!$D$2</definedName>
    <definedName name="Division" localSheetId="15">'ADAN|0462-00'!$D$2</definedName>
    <definedName name="Division">'B6'!$D$2</definedName>
    <definedName name="DUCECElect" localSheetId="0">'ADAA|0001-00'!$J$74</definedName>
    <definedName name="DUCECElect" localSheetId="1">'ADAA|0365-00'!$J$74</definedName>
    <definedName name="DUCECElect" localSheetId="2">'ADAA|0450-00'!$J$74</definedName>
    <definedName name="DUCECElect" localSheetId="3">'ADAA|0519-00'!$J$74</definedName>
    <definedName name="DUCECElect" localSheetId="4">'ADAC|0365-00'!$J$74</definedName>
    <definedName name="DUCECElect" localSheetId="5">'ADAC|0450-00'!$J$74</definedName>
    <definedName name="DUCECElect" localSheetId="6">'ADAD|0450-00'!$J$74</definedName>
    <definedName name="DUCECElect" localSheetId="7">'ADAD|0456-00'!$J$74</definedName>
    <definedName name="DUCECElect" localSheetId="8">'ADAK|0461-00'!$J$74</definedName>
    <definedName name="DUCECElect" localSheetId="9">'ADAK|0462-00'!$J$74</definedName>
    <definedName name="DUCECElect" localSheetId="10">'ADAK|0519-00'!$J$74</definedName>
    <definedName name="DUCECElect" localSheetId="11">'ADAM|0001-00'!$J$74</definedName>
    <definedName name="DUCECElect" localSheetId="12">'ADAM|0450-00'!$J$74</definedName>
    <definedName name="DUCECElect" localSheetId="13">'ADAN|0456-00'!$J$74</definedName>
    <definedName name="DUCECElect" localSheetId="14">'ADAN|0461-00'!$J$74</definedName>
    <definedName name="DUCECElect" localSheetId="15">'ADAN|0462-00'!$J$74</definedName>
    <definedName name="DUCECElect">'B6'!$J$74</definedName>
    <definedName name="DUCECGroup" localSheetId="0">'ADAA|0001-00'!$J$73</definedName>
    <definedName name="DUCECGroup" localSheetId="1">'ADAA|0365-00'!$J$73</definedName>
    <definedName name="DUCECGroup" localSheetId="2">'ADAA|0450-00'!$J$73</definedName>
    <definedName name="DUCECGroup" localSheetId="3">'ADAA|0519-00'!$J$73</definedName>
    <definedName name="DUCECGroup" localSheetId="4">'ADAC|0365-00'!$J$73</definedName>
    <definedName name="DUCECGroup" localSheetId="5">'ADAC|0450-00'!$J$73</definedName>
    <definedName name="DUCECGroup" localSheetId="6">'ADAD|0450-00'!$J$73</definedName>
    <definedName name="DUCECGroup" localSheetId="7">'ADAD|0456-00'!$J$73</definedName>
    <definedName name="DUCECGroup" localSheetId="8">'ADAK|0461-00'!$J$73</definedName>
    <definedName name="DUCECGroup" localSheetId="9">'ADAK|0462-00'!$J$73</definedName>
    <definedName name="DUCECGroup" localSheetId="10">'ADAK|0519-00'!$J$73</definedName>
    <definedName name="DUCECGroup" localSheetId="11">'ADAM|0001-00'!$J$73</definedName>
    <definedName name="DUCECGroup" localSheetId="12">'ADAM|0450-00'!$J$73</definedName>
    <definedName name="DUCECGroup" localSheetId="13">'ADAN|0456-00'!$J$73</definedName>
    <definedName name="DUCECGroup" localSheetId="14">'ADAN|0461-00'!$J$73</definedName>
    <definedName name="DUCECGroup" localSheetId="15">'ADAN|0462-00'!$J$73</definedName>
    <definedName name="DUCECGroup">'B6'!$J$73</definedName>
    <definedName name="DUCECPerm" localSheetId="0">'ADAA|0001-00'!$J$72</definedName>
    <definedName name="DUCECPerm" localSheetId="1">'ADAA|0365-00'!$J$72</definedName>
    <definedName name="DUCECPerm" localSheetId="2">'ADAA|0450-00'!$J$72</definedName>
    <definedName name="DUCECPerm" localSheetId="3">'ADAA|0519-00'!$J$72</definedName>
    <definedName name="DUCECPerm" localSheetId="4">'ADAC|0365-00'!$J$72</definedName>
    <definedName name="DUCECPerm" localSheetId="5">'ADAC|0450-00'!$J$72</definedName>
    <definedName name="DUCECPerm" localSheetId="6">'ADAD|0450-00'!$J$72</definedName>
    <definedName name="DUCECPerm" localSheetId="7">'ADAD|0456-00'!$J$72</definedName>
    <definedName name="DUCECPerm" localSheetId="8">'ADAK|0461-00'!$J$72</definedName>
    <definedName name="DUCECPerm" localSheetId="9">'ADAK|0462-00'!$J$72</definedName>
    <definedName name="DUCECPerm" localSheetId="10">'ADAK|0519-00'!$J$72</definedName>
    <definedName name="DUCECPerm" localSheetId="11">'ADAM|0001-00'!$J$72</definedName>
    <definedName name="DUCECPerm" localSheetId="12">'ADAM|0450-00'!$J$72</definedName>
    <definedName name="DUCECPerm" localSheetId="13">'ADAN|0456-00'!$J$72</definedName>
    <definedName name="DUCECPerm" localSheetId="14">'ADAN|0461-00'!$J$72</definedName>
    <definedName name="DUCECPerm" localSheetId="15">'ADAN|0462-00'!$J$72</definedName>
    <definedName name="DUCECPerm">'B6'!$J$72</definedName>
    <definedName name="DUEleven" localSheetId="0">'ADAA|0001-00'!$J$75</definedName>
    <definedName name="DUEleven" localSheetId="1">'ADAA|0365-00'!$J$75</definedName>
    <definedName name="DUEleven" localSheetId="2">'ADAA|0450-00'!$J$75</definedName>
    <definedName name="DUEleven" localSheetId="3">'ADAA|0519-00'!$J$75</definedName>
    <definedName name="DUEleven" localSheetId="4">'ADAC|0365-00'!$J$75</definedName>
    <definedName name="DUEleven" localSheetId="5">'ADAC|0450-00'!$J$75</definedName>
    <definedName name="DUEleven" localSheetId="6">'ADAD|0450-00'!$J$75</definedName>
    <definedName name="DUEleven" localSheetId="7">'ADAD|0456-00'!$J$75</definedName>
    <definedName name="DUEleven" localSheetId="8">'ADAK|0461-00'!$J$75</definedName>
    <definedName name="DUEleven" localSheetId="9">'ADAK|0462-00'!$J$75</definedName>
    <definedName name="DUEleven" localSheetId="10">'ADAK|0519-00'!$J$75</definedName>
    <definedName name="DUEleven" localSheetId="11">'ADAM|0001-00'!$J$75</definedName>
    <definedName name="DUEleven" localSheetId="12">'ADAM|0450-00'!$J$75</definedName>
    <definedName name="DUEleven" localSheetId="13">'ADAN|0456-00'!$J$75</definedName>
    <definedName name="DUEleven" localSheetId="14">'ADAN|0461-00'!$J$75</definedName>
    <definedName name="DUEleven" localSheetId="15">'ADAN|0462-00'!$J$75</definedName>
    <definedName name="DUEleven">'B6'!$J$75</definedName>
    <definedName name="DUHealthBen" localSheetId="0">'ADAA|0001-00'!$J$68</definedName>
    <definedName name="DUHealthBen" localSheetId="1">'ADAA|0365-00'!$J$68</definedName>
    <definedName name="DUHealthBen" localSheetId="2">'ADAA|0450-00'!$J$68</definedName>
    <definedName name="DUHealthBen" localSheetId="3">'ADAA|0519-00'!$J$68</definedName>
    <definedName name="DUHealthBen" localSheetId="4">'ADAC|0365-00'!$J$68</definedName>
    <definedName name="DUHealthBen" localSheetId="5">'ADAC|0450-00'!$J$68</definedName>
    <definedName name="DUHealthBen" localSheetId="6">'ADAD|0450-00'!$J$68</definedName>
    <definedName name="DUHealthBen" localSheetId="7">'ADAD|0456-00'!$J$68</definedName>
    <definedName name="DUHealthBen" localSheetId="8">'ADAK|0461-00'!$J$68</definedName>
    <definedName name="DUHealthBen" localSheetId="9">'ADAK|0462-00'!$J$68</definedName>
    <definedName name="DUHealthBen" localSheetId="10">'ADAK|0519-00'!$J$68</definedName>
    <definedName name="DUHealthBen" localSheetId="11">'ADAM|0001-00'!$J$68</definedName>
    <definedName name="DUHealthBen" localSheetId="12">'ADAM|0450-00'!$J$68</definedName>
    <definedName name="DUHealthBen" localSheetId="13">'ADAN|0456-00'!$J$68</definedName>
    <definedName name="DUHealthBen" localSheetId="14">'ADAN|0461-00'!$J$68</definedName>
    <definedName name="DUHealthBen" localSheetId="15">'ADAN|0462-00'!$J$68</definedName>
    <definedName name="DUHealthBen">'B6'!$J$68</definedName>
    <definedName name="DUNine" localSheetId="0">'ADAA|0001-00'!$J$67</definedName>
    <definedName name="DUNine" localSheetId="1">'ADAA|0365-00'!$J$67</definedName>
    <definedName name="DUNine" localSheetId="2">'ADAA|0450-00'!$J$67</definedName>
    <definedName name="DUNine" localSheetId="3">'ADAA|0519-00'!$J$67</definedName>
    <definedName name="DUNine" localSheetId="4">'ADAC|0365-00'!$J$67</definedName>
    <definedName name="DUNine" localSheetId="5">'ADAC|0450-00'!$J$67</definedName>
    <definedName name="DUNine" localSheetId="6">'ADAD|0450-00'!$J$67</definedName>
    <definedName name="DUNine" localSheetId="7">'ADAD|0456-00'!$J$67</definedName>
    <definedName name="DUNine" localSheetId="8">'ADAK|0461-00'!$J$67</definedName>
    <definedName name="DUNine" localSheetId="9">'ADAK|0462-00'!$J$67</definedName>
    <definedName name="DUNine" localSheetId="10">'ADAK|0519-00'!$J$67</definedName>
    <definedName name="DUNine" localSheetId="11">'ADAM|0001-00'!$J$67</definedName>
    <definedName name="DUNine" localSheetId="12">'ADAM|0450-00'!$J$67</definedName>
    <definedName name="DUNine" localSheetId="13">'ADAN|0456-00'!$J$67</definedName>
    <definedName name="DUNine" localSheetId="14">'ADAN|0461-00'!$J$67</definedName>
    <definedName name="DUNine" localSheetId="15">'ADAN|0462-00'!$J$67</definedName>
    <definedName name="DUNine">'B6'!$J$67</definedName>
    <definedName name="DUThirteen" localSheetId="0">'ADAA|0001-00'!$J$80</definedName>
    <definedName name="DUThirteen" localSheetId="1">'ADAA|0365-00'!$J$80</definedName>
    <definedName name="DUThirteen" localSheetId="2">'ADAA|0450-00'!$J$80</definedName>
    <definedName name="DUThirteen" localSheetId="3">'ADAA|0519-00'!$J$80</definedName>
    <definedName name="DUThirteen" localSheetId="4">'ADAC|0365-00'!$J$80</definedName>
    <definedName name="DUThirteen" localSheetId="5">'ADAC|0450-00'!$J$80</definedName>
    <definedName name="DUThirteen" localSheetId="6">'ADAD|0450-00'!$J$80</definedName>
    <definedName name="DUThirteen" localSheetId="7">'ADAD|0456-00'!$J$80</definedName>
    <definedName name="DUThirteen" localSheetId="8">'ADAK|0461-00'!$J$80</definedName>
    <definedName name="DUThirteen" localSheetId="9">'ADAK|0462-00'!$J$80</definedName>
    <definedName name="DUThirteen" localSheetId="10">'ADAK|0519-00'!$J$80</definedName>
    <definedName name="DUThirteen" localSheetId="11">'ADAM|0001-00'!$J$80</definedName>
    <definedName name="DUThirteen" localSheetId="12">'ADAM|0450-00'!$J$80</definedName>
    <definedName name="DUThirteen" localSheetId="13">'ADAN|0456-00'!$J$80</definedName>
    <definedName name="DUThirteen" localSheetId="14">'ADAN|0461-00'!$J$80</definedName>
    <definedName name="DUThirteen" localSheetId="15">'ADAN|0462-00'!$J$80</definedName>
    <definedName name="DUThirteen">'B6'!$J$80</definedName>
    <definedName name="DUVariableBen" localSheetId="0">'ADAA|0001-00'!$J$69</definedName>
    <definedName name="DUVariableBen" localSheetId="1">'ADAA|0365-00'!$J$69</definedName>
    <definedName name="DUVariableBen" localSheetId="2">'ADAA|0450-00'!$J$69</definedName>
    <definedName name="DUVariableBen" localSheetId="3">'ADAA|0519-00'!$J$69</definedName>
    <definedName name="DUVariableBen" localSheetId="4">'ADAC|0365-00'!$J$69</definedName>
    <definedName name="DUVariableBen" localSheetId="5">'ADAC|0450-00'!$J$69</definedName>
    <definedName name="DUVariableBen" localSheetId="6">'ADAD|0450-00'!$J$69</definedName>
    <definedName name="DUVariableBen" localSheetId="7">'ADAD|0456-00'!$J$69</definedName>
    <definedName name="DUVariableBen" localSheetId="8">'ADAK|0461-00'!$J$69</definedName>
    <definedName name="DUVariableBen" localSheetId="9">'ADAK|0462-00'!$J$69</definedName>
    <definedName name="DUVariableBen" localSheetId="10">'ADAK|0519-00'!$J$69</definedName>
    <definedName name="DUVariableBen" localSheetId="11">'ADAM|0001-00'!$J$69</definedName>
    <definedName name="DUVariableBen" localSheetId="12">'ADAM|0450-00'!$J$69</definedName>
    <definedName name="DUVariableBen" localSheetId="13">'ADAN|0456-00'!$J$69</definedName>
    <definedName name="DUVariableBen" localSheetId="14">'ADAN|0461-00'!$J$69</definedName>
    <definedName name="DUVariableBen" localSheetId="15">'ADAN|0462-00'!$J$69</definedName>
    <definedName name="DUVariableBen">'B6'!$J$69</definedName>
    <definedName name="Elect_chg_health" localSheetId="0">'ADAA|0001-00'!$L$12</definedName>
    <definedName name="Elect_chg_health" localSheetId="1">'ADAA|0365-00'!$L$12</definedName>
    <definedName name="Elect_chg_health" localSheetId="2">'ADAA|0450-00'!$L$12</definedName>
    <definedName name="Elect_chg_health" localSheetId="3">'ADAA|0519-00'!$L$12</definedName>
    <definedName name="Elect_chg_health" localSheetId="4">'ADAC|0365-00'!$L$12</definedName>
    <definedName name="Elect_chg_health" localSheetId="5">'ADAC|0450-00'!$L$12</definedName>
    <definedName name="Elect_chg_health" localSheetId="6">'ADAD|0450-00'!$L$12</definedName>
    <definedName name="Elect_chg_health" localSheetId="7">'ADAD|0456-00'!$L$12</definedName>
    <definedName name="Elect_chg_health" localSheetId="8">'ADAK|0461-00'!$L$12</definedName>
    <definedName name="Elect_chg_health" localSheetId="9">'ADAK|0462-00'!$L$12</definedName>
    <definedName name="Elect_chg_health" localSheetId="10">'ADAK|0519-00'!$L$12</definedName>
    <definedName name="Elect_chg_health" localSheetId="11">'ADAM|0001-00'!$L$12</definedName>
    <definedName name="Elect_chg_health" localSheetId="12">'ADAM|0450-00'!$L$12</definedName>
    <definedName name="Elect_chg_health" localSheetId="13">'ADAN|0456-00'!$L$12</definedName>
    <definedName name="Elect_chg_health" localSheetId="14">'ADAN|0461-00'!$L$12</definedName>
    <definedName name="Elect_chg_health" localSheetId="15">'ADAN|0462-00'!$L$12</definedName>
    <definedName name="Elect_chg_health">'B6'!$L$12</definedName>
    <definedName name="Elect_chg_Var" localSheetId="0">'ADAA|0001-00'!$M$12</definedName>
    <definedName name="Elect_chg_Var" localSheetId="1">'ADAA|0365-00'!$M$12</definedName>
    <definedName name="Elect_chg_Var" localSheetId="2">'ADAA|0450-00'!$M$12</definedName>
    <definedName name="Elect_chg_Var" localSheetId="3">'ADAA|0519-00'!$M$12</definedName>
    <definedName name="Elect_chg_Var" localSheetId="4">'ADAC|0365-00'!$M$12</definedName>
    <definedName name="Elect_chg_Var" localSheetId="5">'ADAC|0450-00'!$M$12</definedName>
    <definedName name="Elect_chg_Var" localSheetId="6">'ADAD|0450-00'!$M$12</definedName>
    <definedName name="Elect_chg_Var" localSheetId="7">'ADAD|0456-00'!$M$12</definedName>
    <definedName name="Elect_chg_Var" localSheetId="8">'ADAK|0461-00'!$M$12</definedName>
    <definedName name="Elect_chg_Var" localSheetId="9">'ADAK|0462-00'!$M$12</definedName>
    <definedName name="Elect_chg_Var" localSheetId="10">'ADAK|0519-00'!$M$12</definedName>
    <definedName name="Elect_chg_Var" localSheetId="11">'ADAM|0001-00'!$M$12</definedName>
    <definedName name="Elect_chg_Var" localSheetId="12">'ADAM|0450-00'!$M$12</definedName>
    <definedName name="Elect_chg_Var" localSheetId="13">'ADAN|0456-00'!$M$12</definedName>
    <definedName name="Elect_chg_Var" localSheetId="14">'ADAN|0461-00'!$M$12</definedName>
    <definedName name="Elect_chg_Var" localSheetId="15">'ADAN|0462-00'!$M$12</definedName>
    <definedName name="Elect_chg_Var">'B6'!$M$12</definedName>
    <definedName name="elect_FTP" localSheetId="0">'ADAA|0001-00'!$F$12</definedName>
    <definedName name="elect_FTP" localSheetId="1">'ADAA|0365-00'!$F$12</definedName>
    <definedName name="elect_FTP" localSheetId="2">'ADAA|0450-00'!$F$12</definedName>
    <definedName name="elect_FTP" localSheetId="3">'ADAA|0519-00'!$F$12</definedName>
    <definedName name="elect_FTP" localSheetId="4">'ADAC|0365-00'!$F$12</definedName>
    <definedName name="elect_FTP" localSheetId="5">'ADAC|0450-00'!$F$12</definedName>
    <definedName name="elect_FTP" localSheetId="6">'ADAD|0450-00'!$F$12</definedName>
    <definedName name="elect_FTP" localSheetId="7">'ADAD|0456-00'!$F$12</definedName>
    <definedName name="elect_FTP" localSheetId="8">'ADAK|0461-00'!$F$12</definedName>
    <definedName name="elect_FTP" localSheetId="9">'ADAK|0462-00'!$F$12</definedName>
    <definedName name="elect_FTP" localSheetId="10">'ADAK|0519-00'!$F$12</definedName>
    <definedName name="elect_FTP" localSheetId="11">'ADAM|0001-00'!$F$12</definedName>
    <definedName name="elect_FTP" localSheetId="12">'ADAM|0450-00'!$F$12</definedName>
    <definedName name="elect_FTP" localSheetId="13">'ADAN|0456-00'!$F$12</definedName>
    <definedName name="elect_FTP" localSheetId="14">'ADAN|0461-00'!$F$12</definedName>
    <definedName name="elect_FTP" localSheetId="15">'ADAN|0462-00'!$F$12</definedName>
    <definedName name="elect_FTP">'B6'!$F$12</definedName>
    <definedName name="Elect_health" localSheetId="0">'ADAA|0001-00'!$H$12</definedName>
    <definedName name="Elect_health" localSheetId="1">'ADAA|0365-00'!$H$12</definedName>
    <definedName name="Elect_health" localSheetId="2">'ADAA|0450-00'!$H$12</definedName>
    <definedName name="Elect_health" localSheetId="3">'ADAA|0519-00'!$H$12</definedName>
    <definedName name="Elect_health" localSheetId="4">'ADAC|0365-00'!$H$12</definedName>
    <definedName name="Elect_health" localSheetId="5">'ADAC|0450-00'!$H$12</definedName>
    <definedName name="Elect_health" localSheetId="6">'ADAD|0450-00'!$H$12</definedName>
    <definedName name="Elect_health" localSheetId="7">'ADAD|0456-00'!$H$12</definedName>
    <definedName name="Elect_health" localSheetId="8">'ADAK|0461-00'!$H$12</definedName>
    <definedName name="Elect_health" localSheetId="9">'ADAK|0462-00'!$H$12</definedName>
    <definedName name="Elect_health" localSheetId="10">'ADAK|0519-00'!$H$12</definedName>
    <definedName name="Elect_health" localSheetId="11">'ADAM|0001-00'!$H$12</definedName>
    <definedName name="Elect_health" localSheetId="12">'ADAM|0450-00'!$H$12</definedName>
    <definedName name="Elect_health" localSheetId="13">'ADAN|0456-00'!$H$12</definedName>
    <definedName name="Elect_health" localSheetId="14">'ADAN|0461-00'!$H$12</definedName>
    <definedName name="Elect_health" localSheetId="15">'ADAN|0462-00'!$H$12</definedName>
    <definedName name="Elect_health">'B6'!$H$12</definedName>
    <definedName name="Elect_name" localSheetId="0">'ADAA|0001-00'!$C$12</definedName>
    <definedName name="Elect_name" localSheetId="1">'ADAA|0365-00'!$C$12</definedName>
    <definedName name="Elect_name" localSheetId="2">'ADAA|0450-00'!$C$12</definedName>
    <definedName name="Elect_name" localSheetId="3">'ADAA|0519-00'!$C$12</definedName>
    <definedName name="Elect_name" localSheetId="4">'ADAC|0365-00'!$C$12</definedName>
    <definedName name="Elect_name" localSheetId="5">'ADAC|0450-00'!$C$12</definedName>
    <definedName name="Elect_name" localSheetId="6">'ADAD|0450-00'!$C$12</definedName>
    <definedName name="Elect_name" localSheetId="7">'ADAD|0456-00'!$C$12</definedName>
    <definedName name="Elect_name" localSheetId="8">'ADAK|0461-00'!$C$12</definedName>
    <definedName name="Elect_name" localSheetId="9">'ADAK|0462-00'!$C$12</definedName>
    <definedName name="Elect_name" localSheetId="10">'ADAK|0519-00'!$C$12</definedName>
    <definedName name="Elect_name" localSheetId="11">'ADAM|0001-00'!$C$12</definedName>
    <definedName name="Elect_name" localSheetId="12">'ADAM|0450-00'!$C$12</definedName>
    <definedName name="Elect_name" localSheetId="13">'ADAN|0456-00'!$C$12</definedName>
    <definedName name="Elect_name" localSheetId="14">'ADAN|0461-00'!$C$12</definedName>
    <definedName name="Elect_name" localSheetId="15">'ADAN|0462-00'!$C$12</definedName>
    <definedName name="Elect_name">'B6'!$C$12</definedName>
    <definedName name="Elect_salary" localSheetId="0">'ADAA|0001-00'!$G$12</definedName>
    <definedName name="Elect_salary" localSheetId="1">'ADAA|0365-00'!$G$12</definedName>
    <definedName name="Elect_salary" localSheetId="2">'ADAA|0450-00'!$G$12</definedName>
    <definedName name="Elect_salary" localSheetId="3">'ADAA|0519-00'!$G$12</definedName>
    <definedName name="Elect_salary" localSheetId="4">'ADAC|0365-00'!$G$12</definedName>
    <definedName name="Elect_salary" localSheetId="5">'ADAC|0450-00'!$G$12</definedName>
    <definedName name="Elect_salary" localSheetId="6">'ADAD|0450-00'!$G$12</definedName>
    <definedName name="Elect_salary" localSheetId="7">'ADAD|0456-00'!$G$12</definedName>
    <definedName name="Elect_salary" localSheetId="8">'ADAK|0461-00'!$G$12</definedName>
    <definedName name="Elect_salary" localSheetId="9">'ADAK|0462-00'!$G$12</definedName>
    <definedName name="Elect_salary" localSheetId="10">'ADAK|0519-00'!$G$12</definedName>
    <definedName name="Elect_salary" localSheetId="11">'ADAM|0001-00'!$G$12</definedName>
    <definedName name="Elect_salary" localSheetId="12">'ADAM|0450-00'!$G$12</definedName>
    <definedName name="Elect_salary" localSheetId="13">'ADAN|0456-00'!$G$12</definedName>
    <definedName name="Elect_salary" localSheetId="14">'ADAN|0461-00'!$G$12</definedName>
    <definedName name="Elect_salary" localSheetId="15">'ADAN|0462-00'!$G$12</definedName>
    <definedName name="Elect_salary">'B6'!$G$12</definedName>
    <definedName name="Elect_Var" localSheetId="0">'ADAA|0001-00'!$I$12</definedName>
    <definedName name="Elect_Var" localSheetId="1">'ADAA|0365-00'!$I$12</definedName>
    <definedName name="Elect_Var" localSheetId="2">'ADAA|0450-00'!$I$12</definedName>
    <definedName name="Elect_Var" localSheetId="3">'ADAA|0519-00'!$I$12</definedName>
    <definedName name="Elect_Var" localSheetId="4">'ADAC|0365-00'!$I$12</definedName>
    <definedName name="Elect_Var" localSheetId="5">'ADAC|0450-00'!$I$12</definedName>
    <definedName name="Elect_Var" localSheetId="6">'ADAD|0450-00'!$I$12</definedName>
    <definedName name="Elect_Var" localSheetId="7">'ADAD|0456-00'!$I$12</definedName>
    <definedName name="Elect_Var" localSheetId="8">'ADAK|0461-00'!$I$12</definedName>
    <definedName name="Elect_Var" localSheetId="9">'ADAK|0462-00'!$I$12</definedName>
    <definedName name="Elect_Var" localSheetId="10">'ADAK|0519-00'!$I$12</definedName>
    <definedName name="Elect_Var" localSheetId="11">'ADAM|0001-00'!$I$12</definedName>
    <definedName name="Elect_Var" localSheetId="12">'ADAM|0450-00'!$I$12</definedName>
    <definedName name="Elect_Var" localSheetId="13">'ADAN|0456-00'!$I$12</definedName>
    <definedName name="Elect_Var" localSheetId="14">'ADAN|0461-00'!$I$12</definedName>
    <definedName name="Elect_Var" localSheetId="15">'ADAN|0462-00'!$I$12</definedName>
    <definedName name="Elect_Var">'B6'!$I$12</definedName>
    <definedName name="Elect_VarBen" localSheetId="0">'ADAA|0001-00'!$I$12</definedName>
    <definedName name="Elect_VarBen" localSheetId="1">'ADAA|0365-00'!$I$12</definedName>
    <definedName name="Elect_VarBen" localSheetId="2">'ADAA|0450-00'!$I$12</definedName>
    <definedName name="Elect_VarBen" localSheetId="3">'ADAA|0519-00'!$I$12</definedName>
    <definedName name="Elect_VarBen" localSheetId="4">'ADAC|0365-00'!$I$12</definedName>
    <definedName name="Elect_VarBen" localSheetId="5">'ADAC|0450-00'!$I$12</definedName>
    <definedName name="Elect_VarBen" localSheetId="6">'ADAD|0450-00'!$I$12</definedName>
    <definedName name="Elect_VarBen" localSheetId="7">'ADAD|0456-00'!$I$12</definedName>
    <definedName name="Elect_VarBen" localSheetId="8">'ADAK|0461-00'!$I$12</definedName>
    <definedName name="Elect_VarBen" localSheetId="9">'ADAK|0462-00'!$I$12</definedName>
    <definedName name="Elect_VarBen" localSheetId="10">'ADAK|0519-00'!$I$12</definedName>
    <definedName name="Elect_VarBen" localSheetId="11">'ADAM|0001-00'!$I$12</definedName>
    <definedName name="Elect_VarBen" localSheetId="12">'ADAM|0450-00'!$I$12</definedName>
    <definedName name="Elect_VarBen" localSheetId="13">'ADAN|0456-00'!$I$12</definedName>
    <definedName name="Elect_VarBen" localSheetId="14">'ADAN|0461-00'!$I$12</definedName>
    <definedName name="Elect_VarBen" localSheetId="15">'ADAN|0462-00'!$I$12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'ADAA|0001-00'!#REF!</definedName>
    <definedName name="FillRateAvg_B6" localSheetId="1">'ADAA|0365-00'!#REF!</definedName>
    <definedName name="FillRateAvg_B6" localSheetId="2">'ADAA|0450-00'!#REF!</definedName>
    <definedName name="FillRateAvg_B6" localSheetId="3">'ADAA|0519-00'!#REF!</definedName>
    <definedName name="FillRateAvg_B6" localSheetId="4">'ADAC|0365-00'!#REF!</definedName>
    <definedName name="FillRateAvg_B6" localSheetId="5">'ADAC|0450-00'!#REF!</definedName>
    <definedName name="FillRateAvg_B6" localSheetId="6">'ADAD|0450-00'!#REF!</definedName>
    <definedName name="FillRateAvg_B6" localSheetId="7">'ADAD|0456-00'!#REF!</definedName>
    <definedName name="FillRateAvg_B6" localSheetId="8">'ADAK|0461-00'!#REF!</definedName>
    <definedName name="FillRateAvg_B6" localSheetId="9">'ADAK|0462-00'!#REF!</definedName>
    <definedName name="FillRateAvg_B6" localSheetId="10">'ADAK|0519-00'!#REF!</definedName>
    <definedName name="FillRateAvg_B6" localSheetId="11">'ADAM|0001-00'!#REF!</definedName>
    <definedName name="FillRateAvg_B6" localSheetId="12">'ADAM|0450-00'!#REF!</definedName>
    <definedName name="FillRateAvg_B6" localSheetId="13">'ADAN|0456-00'!#REF!</definedName>
    <definedName name="FillRateAvg_B6" localSheetId="14">'ADAN|0461-00'!#REF!</definedName>
    <definedName name="FillRateAvg_B6" localSheetId="15">'ADAN|0462-00'!#REF!</definedName>
    <definedName name="FillRateAvg_B6">'B6'!#REF!</definedName>
    <definedName name="FiscalYear" localSheetId="0">'ADAA|0001-00'!$M$4</definedName>
    <definedName name="FiscalYear" localSheetId="1">'ADAA|0365-00'!$M$4</definedName>
    <definedName name="FiscalYear" localSheetId="2">'ADAA|0450-00'!$M$4</definedName>
    <definedName name="FiscalYear" localSheetId="3">'ADAA|0519-00'!$M$4</definedName>
    <definedName name="FiscalYear" localSheetId="4">'ADAC|0365-00'!$M$4</definedName>
    <definedName name="FiscalYear" localSheetId="5">'ADAC|0450-00'!$M$4</definedName>
    <definedName name="FiscalYear" localSheetId="6">'ADAD|0450-00'!$M$4</definedName>
    <definedName name="FiscalYear" localSheetId="7">'ADAD|0456-00'!$M$4</definedName>
    <definedName name="FiscalYear" localSheetId="8">'ADAK|0461-00'!$M$4</definedName>
    <definedName name="FiscalYear" localSheetId="9">'ADAK|0462-00'!$M$4</definedName>
    <definedName name="FiscalYear" localSheetId="10">'ADAK|0519-00'!$M$4</definedName>
    <definedName name="FiscalYear" localSheetId="11">'ADAM|0001-00'!$M$4</definedName>
    <definedName name="FiscalYear" localSheetId="12">'ADAM|0450-00'!$M$4</definedName>
    <definedName name="FiscalYear" localSheetId="13">'ADAN|0456-00'!$M$4</definedName>
    <definedName name="FiscalYear" localSheetId="14">'ADAN|0461-00'!$M$4</definedName>
    <definedName name="FiscalYear" localSheetId="15">'ADAN|0462-00'!$M$4</definedName>
    <definedName name="FiscalYear">'B6'!$M$4</definedName>
    <definedName name="FundName" localSheetId="0">'ADAA|0001-00'!$I$5</definedName>
    <definedName name="FundName" localSheetId="1">'ADAA|0365-00'!$I$5</definedName>
    <definedName name="FundName" localSheetId="2">'ADAA|0450-00'!$I$5</definedName>
    <definedName name="FundName" localSheetId="3">'ADAA|0519-00'!$I$5</definedName>
    <definedName name="FundName" localSheetId="4">'ADAC|0365-00'!$I$5</definedName>
    <definedName name="FundName" localSheetId="5">'ADAC|0450-00'!$I$5</definedName>
    <definedName name="FundName" localSheetId="6">'ADAD|0450-00'!$I$5</definedName>
    <definedName name="FundName" localSheetId="7">'ADAD|0456-00'!$I$5</definedName>
    <definedName name="FundName" localSheetId="8">'ADAK|0461-00'!$I$5</definedName>
    <definedName name="FundName" localSheetId="9">'ADAK|0462-00'!$I$5</definedName>
    <definedName name="FundName" localSheetId="10">'ADAK|0519-00'!$I$5</definedName>
    <definedName name="FundName" localSheetId="11">'ADAM|0001-00'!$I$5</definedName>
    <definedName name="FundName" localSheetId="12">'ADAM|0450-00'!$I$5</definedName>
    <definedName name="FundName" localSheetId="13">'ADAN|0456-00'!$I$5</definedName>
    <definedName name="FundName" localSheetId="14">'ADAN|0461-00'!$I$5</definedName>
    <definedName name="FundName" localSheetId="15">'ADAN|0462-00'!$I$5</definedName>
    <definedName name="FundName">'B6'!$I$5</definedName>
    <definedName name="FundNum" localSheetId="0">'ADAA|0001-00'!$N$5</definedName>
    <definedName name="FundNum" localSheetId="1">'ADAA|0365-00'!$N$5</definedName>
    <definedName name="FundNum" localSheetId="2">'ADAA|0450-00'!$N$5</definedName>
    <definedName name="FundNum" localSheetId="3">'ADAA|0519-00'!$N$5</definedName>
    <definedName name="FundNum" localSheetId="4">'ADAC|0365-00'!$N$5</definedName>
    <definedName name="FundNum" localSheetId="5">'ADAC|0450-00'!$N$5</definedName>
    <definedName name="FundNum" localSheetId="6">'ADAD|0450-00'!$N$5</definedName>
    <definedName name="FundNum" localSheetId="7">'ADAD|0456-00'!$N$5</definedName>
    <definedName name="FundNum" localSheetId="8">'ADAK|0461-00'!$N$5</definedName>
    <definedName name="FundNum" localSheetId="9">'ADAK|0462-00'!$N$5</definedName>
    <definedName name="FundNum" localSheetId="10">'ADAK|0519-00'!$N$5</definedName>
    <definedName name="FundNum" localSheetId="11">'ADAM|0001-00'!$N$5</definedName>
    <definedName name="FundNum" localSheetId="12">'ADAM|0450-00'!$N$5</definedName>
    <definedName name="FundNum" localSheetId="13">'ADAN|0456-00'!$N$5</definedName>
    <definedName name="FundNum" localSheetId="14">'ADAN|0461-00'!$N$5</definedName>
    <definedName name="FundNum" localSheetId="15">'ADAN|0462-00'!$N$5</definedName>
    <definedName name="FundNum">'B6'!$N$5</definedName>
    <definedName name="FundNumber" localSheetId="0">'ADAA|0001-00'!$N$5</definedName>
    <definedName name="FundNumber" localSheetId="1">'ADAA|0365-00'!$N$5</definedName>
    <definedName name="FundNumber" localSheetId="2">'ADAA|0450-00'!$N$5</definedName>
    <definedName name="FundNumber" localSheetId="3">'ADAA|0519-00'!$N$5</definedName>
    <definedName name="FundNumber" localSheetId="4">'ADAC|0365-00'!$N$5</definedName>
    <definedName name="FundNumber" localSheetId="5">'ADAC|0450-00'!$N$5</definedName>
    <definedName name="FundNumber" localSheetId="6">'ADAD|0450-00'!$N$5</definedName>
    <definedName name="FundNumber" localSheetId="7">'ADAD|0456-00'!$N$5</definedName>
    <definedName name="FundNumber" localSheetId="8">'ADAK|0461-00'!$N$5</definedName>
    <definedName name="FundNumber" localSheetId="9">'ADAK|0462-00'!$N$5</definedName>
    <definedName name="FundNumber" localSheetId="10">'ADAK|0519-00'!$N$5</definedName>
    <definedName name="FundNumber" localSheetId="11">'ADAM|0001-00'!$N$5</definedName>
    <definedName name="FundNumber" localSheetId="12">'ADAM|0450-00'!$N$5</definedName>
    <definedName name="FundNumber" localSheetId="13">'ADAN|0456-00'!$N$5</definedName>
    <definedName name="FundNumber" localSheetId="14">'ADAN|0461-00'!$N$5</definedName>
    <definedName name="FundNumber" localSheetId="15">'ADAN|0462-00'!$N$5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'ADAA|0001-00'!$C$11</definedName>
    <definedName name="Group_name" localSheetId="1">'ADAA|0365-00'!$C$11</definedName>
    <definedName name="Group_name" localSheetId="2">'ADAA|0450-00'!$C$11</definedName>
    <definedName name="Group_name" localSheetId="3">'ADAA|0519-00'!$C$11</definedName>
    <definedName name="Group_name" localSheetId="4">'ADAC|0365-00'!$C$11</definedName>
    <definedName name="Group_name" localSheetId="5">'ADAC|0450-00'!$C$11</definedName>
    <definedName name="Group_name" localSheetId="6">'ADAD|0450-00'!$C$11</definedName>
    <definedName name="Group_name" localSheetId="7">'ADAD|0456-00'!$C$11</definedName>
    <definedName name="Group_name" localSheetId="8">'ADAK|0461-00'!$C$11</definedName>
    <definedName name="Group_name" localSheetId="9">'ADAK|0462-00'!$C$11</definedName>
    <definedName name="Group_name" localSheetId="10">'ADAK|0519-00'!$C$11</definedName>
    <definedName name="Group_name" localSheetId="11">'ADAM|0001-00'!$C$11</definedName>
    <definedName name="Group_name" localSheetId="12">'ADAM|0450-00'!$C$11</definedName>
    <definedName name="Group_name" localSheetId="13">'ADAN|0456-00'!$C$11</definedName>
    <definedName name="Group_name" localSheetId="14">'ADAN|0461-00'!$C$11</definedName>
    <definedName name="Group_name" localSheetId="15">'ADAN|0462-00'!$C$11</definedName>
    <definedName name="Group_name">'B6'!$C$11</definedName>
    <definedName name="GroupFxdBen" localSheetId="0">'ADAA|0001-00'!$H$11</definedName>
    <definedName name="GroupFxdBen" localSheetId="1">'ADAA|0365-00'!$H$11</definedName>
    <definedName name="GroupFxdBen" localSheetId="2">'ADAA|0450-00'!$H$11</definedName>
    <definedName name="GroupFxdBen" localSheetId="3">'ADAA|0519-00'!$H$11</definedName>
    <definedName name="GroupFxdBen" localSheetId="4">'ADAC|0365-00'!$H$11</definedName>
    <definedName name="GroupFxdBen" localSheetId="5">'ADAC|0450-00'!$H$11</definedName>
    <definedName name="GroupFxdBen" localSheetId="6">'ADAD|0450-00'!$H$11</definedName>
    <definedName name="GroupFxdBen" localSheetId="7">'ADAD|0456-00'!$H$11</definedName>
    <definedName name="GroupFxdBen" localSheetId="8">'ADAK|0461-00'!$H$11</definedName>
    <definedName name="GroupFxdBen" localSheetId="9">'ADAK|0462-00'!$H$11</definedName>
    <definedName name="GroupFxdBen" localSheetId="10">'ADAK|0519-00'!$H$11</definedName>
    <definedName name="GroupFxdBen" localSheetId="11">'ADAM|0001-00'!$H$11</definedName>
    <definedName name="GroupFxdBen" localSheetId="12">'ADAM|0450-00'!$H$11</definedName>
    <definedName name="GroupFxdBen" localSheetId="13">'ADAN|0456-00'!$H$11</definedName>
    <definedName name="GroupFxdBen" localSheetId="14">'ADAN|0461-00'!$H$11</definedName>
    <definedName name="GroupFxdBen" localSheetId="15">'ADAN|0462-00'!$H$11</definedName>
    <definedName name="GroupFxdBen">'B6'!$H$11</definedName>
    <definedName name="GroupSalary" localSheetId="0">'ADAA|0001-00'!$G$11</definedName>
    <definedName name="GroupSalary" localSheetId="1">'ADAA|0365-00'!$G$11</definedName>
    <definedName name="GroupSalary" localSheetId="2">'ADAA|0450-00'!$G$11</definedName>
    <definedName name="GroupSalary" localSheetId="3">'ADAA|0519-00'!$G$11</definedName>
    <definedName name="GroupSalary" localSheetId="4">'ADAC|0365-00'!$G$11</definedName>
    <definedName name="GroupSalary" localSheetId="5">'ADAC|0450-00'!$G$11</definedName>
    <definedName name="GroupSalary" localSheetId="6">'ADAD|0450-00'!$G$11</definedName>
    <definedName name="GroupSalary" localSheetId="7">'ADAD|0456-00'!$G$11</definedName>
    <definedName name="GroupSalary" localSheetId="8">'ADAK|0461-00'!$G$11</definedName>
    <definedName name="GroupSalary" localSheetId="9">'ADAK|0462-00'!$G$11</definedName>
    <definedName name="GroupSalary" localSheetId="10">'ADAK|0519-00'!$G$11</definedName>
    <definedName name="GroupSalary" localSheetId="11">'ADAM|0001-00'!$G$11</definedName>
    <definedName name="GroupSalary" localSheetId="12">'ADAM|0450-00'!$G$11</definedName>
    <definedName name="GroupSalary" localSheetId="13">'ADAN|0456-00'!$G$11</definedName>
    <definedName name="GroupSalary" localSheetId="14">'ADAN|0461-00'!$G$11</definedName>
    <definedName name="GroupSalary" localSheetId="15">'ADAN|0462-00'!$G$11</definedName>
    <definedName name="GroupSalary">'B6'!$G$11</definedName>
    <definedName name="GroupVarBen" localSheetId="0">'ADAA|0001-00'!$I$11</definedName>
    <definedName name="GroupVarBen" localSheetId="1">'ADAA|0365-00'!$I$11</definedName>
    <definedName name="GroupVarBen" localSheetId="2">'ADAA|0450-00'!$I$11</definedName>
    <definedName name="GroupVarBen" localSheetId="3">'ADAA|0519-00'!$I$11</definedName>
    <definedName name="GroupVarBen" localSheetId="4">'ADAC|0365-00'!$I$11</definedName>
    <definedName name="GroupVarBen" localSheetId="5">'ADAC|0450-00'!$I$11</definedName>
    <definedName name="GroupVarBen" localSheetId="6">'ADAD|0450-00'!$I$11</definedName>
    <definedName name="GroupVarBen" localSheetId="7">'ADAD|0456-00'!$I$11</definedName>
    <definedName name="GroupVarBen" localSheetId="8">'ADAK|0461-00'!$I$11</definedName>
    <definedName name="GroupVarBen" localSheetId="9">'ADAK|0462-00'!$I$11</definedName>
    <definedName name="GroupVarBen" localSheetId="10">'ADAK|0519-00'!$I$11</definedName>
    <definedName name="GroupVarBen" localSheetId="11">'ADAM|0001-00'!$I$11</definedName>
    <definedName name="GroupVarBen" localSheetId="12">'ADAM|0450-00'!$I$11</definedName>
    <definedName name="GroupVarBen" localSheetId="13">'ADAN|0456-00'!$I$11</definedName>
    <definedName name="GroupVarBen" localSheetId="14">'ADAN|0461-00'!$I$11</definedName>
    <definedName name="GroupVarBen" localSheetId="15">'ADAN|0462-00'!$I$11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'ADAA|0001-00'!$M$2</definedName>
    <definedName name="LUMAFund" localSheetId="1">'ADAA|0365-00'!$M$2</definedName>
    <definedName name="LUMAFund" localSheetId="2">'ADAA|0450-00'!$M$2</definedName>
    <definedName name="LUMAFund" localSheetId="3">'ADAA|0519-00'!$M$2</definedName>
    <definedName name="LUMAFund" localSheetId="4">'ADAC|0365-00'!$M$2</definedName>
    <definedName name="LUMAFund" localSheetId="5">'ADAC|0450-00'!$M$2</definedName>
    <definedName name="LUMAFund" localSheetId="6">'ADAD|0450-00'!$M$2</definedName>
    <definedName name="LUMAFund" localSheetId="7">'ADAD|0456-00'!$M$2</definedName>
    <definedName name="LUMAFund" localSheetId="8">'ADAK|0461-00'!$M$2</definedName>
    <definedName name="LUMAFund" localSheetId="9">'ADAK|0462-00'!$M$2</definedName>
    <definedName name="LUMAFund" localSheetId="10">'ADAK|0519-00'!$M$2</definedName>
    <definedName name="LUMAFund" localSheetId="11">'ADAM|0001-00'!$M$2</definedName>
    <definedName name="LUMAFund" localSheetId="12">'ADAM|0450-00'!$M$2</definedName>
    <definedName name="LUMAFund" localSheetId="13">'ADAN|0456-00'!$M$2</definedName>
    <definedName name="LUMAFund" localSheetId="14">'ADAN|0461-00'!$M$2</definedName>
    <definedName name="LUMAFund" localSheetId="15">'ADAN|0462-00'!$M$2</definedName>
    <definedName name="LUMAFund">'B6'!$M$2</definedName>
    <definedName name="MAXSSDI">Benefits!$F$5</definedName>
    <definedName name="MAXSSDIBY">Benefits!$G$5</definedName>
    <definedName name="NEW_AdjGroup" localSheetId="0">'ADAA|0001-00'!$AC$39</definedName>
    <definedName name="NEW_AdjGroup" localSheetId="1">'ADAA|0365-00'!$AC$39</definedName>
    <definedName name="NEW_AdjGroup" localSheetId="2">'ADAA|0450-00'!$AC$39</definedName>
    <definedName name="NEW_AdjGroup" localSheetId="3">'ADAA|0519-00'!$AC$39</definedName>
    <definedName name="NEW_AdjGroup" localSheetId="4">'ADAC|0365-00'!$AC$39</definedName>
    <definedName name="NEW_AdjGroup" localSheetId="5">'ADAC|0450-00'!$AC$39</definedName>
    <definedName name="NEW_AdjGroup" localSheetId="6">'ADAD|0450-00'!$AC$39</definedName>
    <definedName name="NEW_AdjGroup" localSheetId="7">'ADAD|0456-00'!$AC$39</definedName>
    <definedName name="NEW_AdjGroup" localSheetId="8">'ADAK|0461-00'!$AC$39</definedName>
    <definedName name="NEW_AdjGroup" localSheetId="9">'ADAK|0462-00'!$AC$39</definedName>
    <definedName name="NEW_AdjGroup" localSheetId="10">'ADAK|0519-00'!$AC$39</definedName>
    <definedName name="NEW_AdjGroup" localSheetId="11">'ADAM|0001-00'!$AC$39</definedName>
    <definedName name="NEW_AdjGroup" localSheetId="12">'ADAM|0450-00'!$AC$39</definedName>
    <definedName name="NEW_AdjGroup" localSheetId="13">'ADAN|0456-00'!$AC$39</definedName>
    <definedName name="NEW_AdjGroup" localSheetId="14">'ADAN|0461-00'!$AC$39</definedName>
    <definedName name="NEW_AdjGroup" localSheetId="15">'ADAN|0462-00'!$AC$39</definedName>
    <definedName name="NEW_AdjGroup">'B6'!$AC$39</definedName>
    <definedName name="NEW_AdjGroupSalary" localSheetId="0">'ADAA|0001-00'!$AA$39</definedName>
    <definedName name="NEW_AdjGroupSalary" localSheetId="1">'ADAA|0365-00'!$AA$39</definedName>
    <definedName name="NEW_AdjGroupSalary" localSheetId="2">'ADAA|0450-00'!$AA$39</definedName>
    <definedName name="NEW_AdjGroupSalary" localSheetId="3">'ADAA|0519-00'!$AA$39</definedName>
    <definedName name="NEW_AdjGroupSalary" localSheetId="4">'ADAC|0365-00'!$AA$39</definedName>
    <definedName name="NEW_AdjGroupSalary" localSheetId="5">'ADAC|0450-00'!$AA$39</definedName>
    <definedName name="NEW_AdjGroupSalary" localSheetId="6">'ADAD|0450-00'!$AA$39</definedName>
    <definedName name="NEW_AdjGroupSalary" localSheetId="7">'ADAD|0456-00'!$AA$39</definedName>
    <definedName name="NEW_AdjGroupSalary" localSheetId="8">'ADAK|0461-00'!$AA$39</definedName>
    <definedName name="NEW_AdjGroupSalary" localSheetId="9">'ADAK|0462-00'!$AA$39</definedName>
    <definedName name="NEW_AdjGroupSalary" localSheetId="10">'ADAK|0519-00'!$AA$39</definedName>
    <definedName name="NEW_AdjGroupSalary" localSheetId="11">'ADAM|0001-00'!$AA$39</definedName>
    <definedName name="NEW_AdjGroupSalary" localSheetId="12">'ADAM|0450-00'!$AA$39</definedName>
    <definedName name="NEW_AdjGroupSalary" localSheetId="13">'ADAN|0456-00'!$AA$39</definedName>
    <definedName name="NEW_AdjGroupSalary" localSheetId="14">'ADAN|0461-00'!$AA$39</definedName>
    <definedName name="NEW_AdjGroupSalary" localSheetId="15">'ADAN|0462-00'!$AA$39</definedName>
    <definedName name="NEW_AdjGroupSalary">'B6'!$AA$39</definedName>
    <definedName name="NEW_AdjGroupVB" localSheetId="0">'ADAA|0001-00'!$AB$39</definedName>
    <definedName name="NEW_AdjGroupVB" localSheetId="1">'ADAA|0365-00'!$AB$39</definedName>
    <definedName name="NEW_AdjGroupVB" localSheetId="2">'ADAA|0450-00'!$AB$39</definedName>
    <definedName name="NEW_AdjGroupVB" localSheetId="3">'ADAA|0519-00'!$AB$39</definedName>
    <definedName name="NEW_AdjGroupVB" localSheetId="4">'ADAC|0365-00'!$AB$39</definedName>
    <definedName name="NEW_AdjGroupVB" localSheetId="5">'ADAC|0450-00'!$AB$39</definedName>
    <definedName name="NEW_AdjGroupVB" localSheetId="6">'ADAD|0450-00'!$AB$39</definedName>
    <definedName name="NEW_AdjGroupVB" localSheetId="7">'ADAD|0456-00'!$AB$39</definedName>
    <definedName name="NEW_AdjGroupVB" localSheetId="8">'ADAK|0461-00'!$AB$39</definedName>
    <definedName name="NEW_AdjGroupVB" localSheetId="9">'ADAK|0462-00'!$AB$39</definedName>
    <definedName name="NEW_AdjGroupVB" localSheetId="10">'ADAK|0519-00'!$AB$39</definedName>
    <definedName name="NEW_AdjGroupVB" localSheetId="11">'ADAM|0001-00'!$AB$39</definedName>
    <definedName name="NEW_AdjGroupVB" localSheetId="12">'ADAM|0450-00'!$AB$39</definedName>
    <definedName name="NEW_AdjGroupVB" localSheetId="13">'ADAN|0456-00'!$AB$39</definedName>
    <definedName name="NEW_AdjGroupVB" localSheetId="14">'ADAN|0461-00'!$AB$39</definedName>
    <definedName name="NEW_AdjGroupVB" localSheetId="15">'ADAN|0462-00'!$AB$39</definedName>
    <definedName name="NEW_AdjGroupVB">'B6'!$AB$39</definedName>
    <definedName name="NEW_AdjONLYGroup" localSheetId="0">'ADAA|0001-00'!$AC$45</definedName>
    <definedName name="NEW_AdjONLYGroup" localSheetId="1">'ADAA|0365-00'!$AC$45</definedName>
    <definedName name="NEW_AdjONLYGroup" localSheetId="2">'ADAA|0450-00'!$AC$45</definedName>
    <definedName name="NEW_AdjONLYGroup" localSheetId="3">'ADAA|0519-00'!$AC$45</definedName>
    <definedName name="NEW_AdjONLYGroup" localSheetId="4">'ADAC|0365-00'!$AC$45</definedName>
    <definedName name="NEW_AdjONLYGroup" localSheetId="5">'ADAC|0450-00'!$AC$45</definedName>
    <definedName name="NEW_AdjONLYGroup" localSheetId="6">'ADAD|0450-00'!$AC$45</definedName>
    <definedName name="NEW_AdjONLYGroup" localSheetId="7">'ADAD|0456-00'!$AC$45</definedName>
    <definedName name="NEW_AdjONLYGroup" localSheetId="8">'ADAK|0461-00'!$AC$45</definedName>
    <definedName name="NEW_AdjONLYGroup" localSheetId="9">'ADAK|0462-00'!$AC$45</definedName>
    <definedName name="NEW_AdjONLYGroup" localSheetId="10">'ADAK|0519-00'!$AC$45</definedName>
    <definedName name="NEW_AdjONLYGroup" localSheetId="11">'ADAM|0001-00'!$AC$45</definedName>
    <definedName name="NEW_AdjONLYGroup" localSheetId="12">'ADAM|0450-00'!$AC$45</definedName>
    <definedName name="NEW_AdjONLYGroup" localSheetId="13">'ADAN|0456-00'!$AC$45</definedName>
    <definedName name="NEW_AdjONLYGroup" localSheetId="14">'ADAN|0461-00'!$AC$45</definedName>
    <definedName name="NEW_AdjONLYGroup" localSheetId="15">'ADAN|0462-00'!$AC$45</definedName>
    <definedName name="NEW_AdjONLYGroup">'B6'!$AC$45</definedName>
    <definedName name="NEW_AdjONLYGroupSalary" localSheetId="0">'ADAA|0001-00'!$AA$45</definedName>
    <definedName name="NEW_AdjONLYGroupSalary" localSheetId="1">'ADAA|0365-00'!$AA$45</definedName>
    <definedName name="NEW_AdjONLYGroupSalary" localSheetId="2">'ADAA|0450-00'!$AA$45</definedName>
    <definedName name="NEW_AdjONLYGroupSalary" localSheetId="3">'ADAA|0519-00'!$AA$45</definedName>
    <definedName name="NEW_AdjONLYGroupSalary" localSheetId="4">'ADAC|0365-00'!$AA$45</definedName>
    <definedName name="NEW_AdjONLYGroupSalary" localSheetId="5">'ADAC|0450-00'!$AA$45</definedName>
    <definedName name="NEW_AdjONLYGroupSalary" localSheetId="6">'ADAD|0450-00'!$AA$45</definedName>
    <definedName name="NEW_AdjONLYGroupSalary" localSheetId="7">'ADAD|0456-00'!$AA$45</definedName>
    <definedName name="NEW_AdjONLYGroupSalary" localSheetId="8">'ADAK|0461-00'!$AA$45</definedName>
    <definedName name="NEW_AdjONLYGroupSalary" localSheetId="9">'ADAK|0462-00'!$AA$45</definedName>
    <definedName name="NEW_AdjONLYGroupSalary" localSheetId="10">'ADAK|0519-00'!$AA$45</definedName>
    <definedName name="NEW_AdjONLYGroupSalary" localSheetId="11">'ADAM|0001-00'!$AA$45</definedName>
    <definedName name="NEW_AdjONLYGroupSalary" localSheetId="12">'ADAM|0450-00'!$AA$45</definedName>
    <definedName name="NEW_AdjONLYGroupSalary" localSheetId="13">'ADAN|0456-00'!$AA$45</definedName>
    <definedName name="NEW_AdjONLYGroupSalary" localSheetId="14">'ADAN|0461-00'!$AA$45</definedName>
    <definedName name="NEW_AdjONLYGroupSalary" localSheetId="15">'ADAN|0462-00'!$AA$45</definedName>
    <definedName name="NEW_AdjONLYGroupSalary">'B6'!$AA$45</definedName>
    <definedName name="NEW_AdjONLYGroupVB" localSheetId="0">'ADAA|0001-00'!$AB$45</definedName>
    <definedName name="NEW_AdjONLYGroupVB" localSheetId="1">'ADAA|0365-00'!$AB$45</definedName>
    <definedName name="NEW_AdjONLYGroupVB" localSheetId="2">'ADAA|0450-00'!$AB$45</definedName>
    <definedName name="NEW_AdjONLYGroupVB" localSheetId="3">'ADAA|0519-00'!$AB$45</definedName>
    <definedName name="NEW_AdjONLYGroupVB" localSheetId="4">'ADAC|0365-00'!$AB$45</definedName>
    <definedName name="NEW_AdjONLYGroupVB" localSheetId="5">'ADAC|0450-00'!$AB$45</definedName>
    <definedName name="NEW_AdjONLYGroupVB" localSheetId="6">'ADAD|0450-00'!$AB$45</definedName>
    <definedName name="NEW_AdjONLYGroupVB" localSheetId="7">'ADAD|0456-00'!$AB$45</definedName>
    <definedName name="NEW_AdjONLYGroupVB" localSheetId="8">'ADAK|0461-00'!$AB$45</definedName>
    <definedName name="NEW_AdjONLYGroupVB" localSheetId="9">'ADAK|0462-00'!$AB$45</definedName>
    <definedName name="NEW_AdjONLYGroupVB" localSheetId="10">'ADAK|0519-00'!$AB$45</definedName>
    <definedName name="NEW_AdjONLYGroupVB" localSheetId="11">'ADAM|0001-00'!$AB$45</definedName>
    <definedName name="NEW_AdjONLYGroupVB" localSheetId="12">'ADAM|0450-00'!$AB$45</definedName>
    <definedName name="NEW_AdjONLYGroupVB" localSheetId="13">'ADAN|0456-00'!$AB$45</definedName>
    <definedName name="NEW_AdjONLYGroupVB" localSheetId="14">'ADAN|0461-00'!$AB$45</definedName>
    <definedName name="NEW_AdjONLYGroupVB" localSheetId="15">'ADAN|0462-00'!$AB$45</definedName>
    <definedName name="NEW_AdjONLYGroupVB">'B6'!$AB$45</definedName>
    <definedName name="NEW_AdjONLYPerm" localSheetId="0">'ADAA|0001-00'!$AC$44</definedName>
    <definedName name="NEW_AdjONLYPerm" localSheetId="1">'ADAA|0365-00'!$AC$44</definedName>
    <definedName name="NEW_AdjONLYPerm" localSheetId="2">'ADAA|0450-00'!$AC$44</definedName>
    <definedName name="NEW_AdjONLYPerm" localSheetId="3">'ADAA|0519-00'!$AC$44</definedName>
    <definedName name="NEW_AdjONLYPerm" localSheetId="4">'ADAC|0365-00'!$AC$44</definedName>
    <definedName name="NEW_AdjONLYPerm" localSheetId="5">'ADAC|0450-00'!$AC$44</definedName>
    <definedName name="NEW_AdjONLYPerm" localSheetId="6">'ADAD|0450-00'!$AC$44</definedName>
    <definedName name="NEW_AdjONLYPerm" localSheetId="7">'ADAD|0456-00'!$AC$44</definedName>
    <definedName name="NEW_AdjONLYPerm" localSheetId="8">'ADAK|0461-00'!$AC$44</definedName>
    <definedName name="NEW_AdjONLYPerm" localSheetId="9">'ADAK|0462-00'!$AC$44</definedName>
    <definedName name="NEW_AdjONLYPerm" localSheetId="10">'ADAK|0519-00'!$AC$44</definedName>
    <definedName name="NEW_AdjONLYPerm" localSheetId="11">'ADAM|0001-00'!$AC$44</definedName>
    <definedName name="NEW_AdjONLYPerm" localSheetId="12">'ADAM|0450-00'!$AC$44</definedName>
    <definedName name="NEW_AdjONLYPerm" localSheetId="13">'ADAN|0456-00'!$AC$44</definedName>
    <definedName name="NEW_AdjONLYPerm" localSheetId="14">'ADAN|0461-00'!$AC$44</definedName>
    <definedName name="NEW_AdjONLYPerm" localSheetId="15">'ADAN|0462-00'!$AC$44</definedName>
    <definedName name="NEW_AdjONLYPerm">'B6'!$AC$44</definedName>
    <definedName name="NEW_AdjONLYPermSalary" localSheetId="0">'ADAA|0001-00'!$AA$44</definedName>
    <definedName name="NEW_AdjONLYPermSalary" localSheetId="1">'ADAA|0365-00'!$AA$44</definedName>
    <definedName name="NEW_AdjONLYPermSalary" localSheetId="2">'ADAA|0450-00'!$AA$44</definedName>
    <definedName name="NEW_AdjONLYPermSalary" localSheetId="3">'ADAA|0519-00'!$AA$44</definedName>
    <definedName name="NEW_AdjONLYPermSalary" localSheetId="4">'ADAC|0365-00'!$AA$44</definedName>
    <definedName name="NEW_AdjONLYPermSalary" localSheetId="5">'ADAC|0450-00'!$AA$44</definedName>
    <definedName name="NEW_AdjONLYPermSalary" localSheetId="6">'ADAD|0450-00'!$AA$44</definedName>
    <definedName name="NEW_AdjONLYPermSalary" localSheetId="7">'ADAD|0456-00'!$AA$44</definedName>
    <definedName name="NEW_AdjONLYPermSalary" localSheetId="8">'ADAK|0461-00'!$AA$44</definedName>
    <definedName name="NEW_AdjONLYPermSalary" localSheetId="9">'ADAK|0462-00'!$AA$44</definedName>
    <definedName name="NEW_AdjONLYPermSalary" localSheetId="10">'ADAK|0519-00'!$AA$44</definedName>
    <definedName name="NEW_AdjONLYPermSalary" localSheetId="11">'ADAM|0001-00'!$AA$44</definedName>
    <definedName name="NEW_AdjONLYPermSalary" localSheetId="12">'ADAM|0450-00'!$AA$44</definedName>
    <definedName name="NEW_AdjONLYPermSalary" localSheetId="13">'ADAN|0456-00'!$AA$44</definedName>
    <definedName name="NEW_AdjONLYPermSalary" localSheetId="14">'ADAN|0461-00'!$AA$44</definedName>
    <definedName name="NEW_AdjONLYPermSalary" localSheetId="15">'ADAN|0462-00'!$AA$44</definedName>
    <definedName name="NEW_AdjONLYPermSalary">'B6'!$AA$44</definedName>
    <definedName name="NEW_AdjONLYPermVB" localSheetId="0">'ADAA|0001-00'!$AB$44</definedName>
    <definedName name="NEW_AdjONLYPermVB" localSheetId="1">'ADAA|0365-00'!$AB$44</definedName>
    <definedName name="NEW_AdjONLYPermVB" localSheetId="2">'ADAA|0450-00'!$AB$44</definedName>
    <definedName name="NEW_AdjONLYPermVB" localSheetId="3">'ADAA|0519-00'!$AB$44</definedName>
    <definedName name="NEW_AdjONLYPermVB" localSheetId="4">'ADAC|0365-00'!$AB$44</definedName>
    <definedName name="NEW_AdjONLYPermVB" localSheetId="5">'ADAC|0450-00'!$AB$44</definedName>
    <definedName name="NEW_AdjONLYPermVB" localSheetId="6">'ADAD|0450-00'!$AB$44</definedName>
    <definedName name="NEW_AdjONLYPermVB" localSheetId="7">'ADAD|0456-00'!$AB$44</definedName>
    <definedName name="NEW_AdjONLYPermVB" localSheetId="8">'ADAK|0461-00'!$AB$44</definedName>
    <definedName name="NEW_AdjONLYPermVB" localSheetId="9">'ADAK|0462-00'!$AB$44</definedName>
    <definedName name="NEW_AdjONLYPermVB" localSheetId="10">'ADAK|0519-00'!$AB$44</definedName>
    <definedName name="NEW_AdjONLYPermVB" localSheetId="11">'ADAM|0001-00'!$AB$44</definedName>
    <definedName name="NEW_AdjONLYPermVB" localSheetId="12">'ADAM|0450-00'!$AB$44</definedName>
    <definedName name="NEW_AdjONLYPermVB" localSheetId="13">'ADAN|0456-00'!$AB$44</definedName>
    <definedName name="NEW_AdjONLYPermVB" localSheetId="14">'ADAN|0461-00'!$AB$44</definedName>
    <definedName name="NEW_AdjONLYPermVB" localSheetId="15">'ADAN|0462-00'!$AB$44</definedName>
    <definedName name="NEW_AdjONLYPermVB">'B6'!$AB$44</definedName>
    <definedName name="NEW_AdjPerm" localSheetId="0">'ADAA|0001-00'!$AC$38</definedName>
    <definedName name="NEW_AdjPerm" localSheetId="1">'ADAA|0365-00'!$AC$38</definedName>
    <definedName name="NEW_AdjPerm" localSheetId="2">'ADAA|0450-00'!$AC$38</definedName>
    <definedName name="NEW_AdjPerm" localSheetId="3">'ADAA|0519-00'!$AC$38</definedName>
    <definedName name="NEW_AdjPerm" localSheetId="4">'ADAC|0365-00'!$AC$38</definedName>
    <definedName name="NEW_AdjPerm" localSheetId="5">'ADAC|0450-00'!$AC$38</definedName>
    <definedName name="NEW_AdjPerm" localSheetId="6">'ADAD|0450-00'!$AC$38</definedName>
    <definedName name="NEW_AdjPerm" localSheetId="7">'ADAD|0456-00'!$AC$38</definedName>
    <definedName name="NEW_AdjPerm" localSheetId="8">'ADAK|0461-00'!$AC$38</definedName>
    <definedName name="NEW_AdjPerm" localSheetId="9">'ADAK|0462-00'!$AC$38</definedName>
    <definedName name="NEW_AdjPerm" localSheetId="10">'ADAK|0519-00'!$AC$38</definedName>
    <definedName name="NEW_AdjPerm" localSheetId="11">'ADAM|0001-00'!$AC$38</definedName>
    <definedName name="NEW_AdjPerm" localSheetId="12">'ADAM|0450-00'!$AC$38</definedName>
    <definedName name="NEW_AdjPerm" localSheetId="13">'ADAN|0456-00'!$AC$38</definedName>
    <definedName name="NEW_AdjPerm" localSheetId="14">'ADAN|0461-00'!$AC$38</definedName>
    <definedName name="NEW_AdjPerm" localSheetId="15">'ADAN|0462-00'!$AC$38</definedName>
    <definedName name="NEW_AdjPerm">'B6'!$AC$38</definedName>
    <definedName name="NEW_AdjPermSalary" localSheetId="0">'ADAA|0001-00'!$AA$38</definedName>
    <definedName name="NEW_AdjPermSalary" localSheetId="1">'ADAA|0365-00'!$AA$38</definedName>
    <definedName name="NEW_AdjPermSalary" localSheetId="2">'ADAA|0450-00'!$AA$38</definedName>
    <definedName name="NEW_AdjPermSalary" localSheetId="3">'ADAA|0519-00'!$AA$38</definedName>
    <definedName name="NEW_AdjPermSalary" localSheetId="4">'ADAC|0365-00'!$AA$38</definedName>
    <definedName name="NEW_AdjPermSalary" localSheetId="5">'ADAC|0450-00'!$AA$38</definedName>
    <definedName name="NEW_AdjPermSalary" localSheetId="6">'ADAD|0450-00'!$AA$38</definedName>
    <definedName name="NEW_AdjPermSalary" localSheetId="7">'ADAD|0456-00'!$AA$38</definedName>
    <definedName name="NEW_AdjPermSalary" localSheetId="8">'ADAK|0461-00'!$AA$38</definedName>
    <definedName name="NEW_AdjPermSalary" localSheetId="9">'ADAK|0462-00'!$AA$38</definedName>
    <definedName name="NEW_AdjPermSalary" localSheetId="10">'ADAK|0519-00'!$AA$38</definedName>
    <definedName name="NEW_AdjPermSalary" localSheetId="11">'ADAM|0001-00'!$AA$38</definedName>
    <definedName name="NEW_AdjPermSalary" localSheetId="12">'ADAM|0450-00'!$AA$38</definedName>
    <definedName name="NEW_AdjPermSalary" localSheetId="13">'ADAN|0456-00'!$AA$38</definedName>
    <definedName name="NEW_AdjPermSalary" localSheetId="14">'ADAN|0461-00'!$AA$38</definedName>
    <definedName name="NEW_AdjPermSalary" localSheetId="15">'ADAN|0462-00'!$AA$38</definedName>
    <definedName name="NEW_AdjPermSalary">'B6'!$AA$38</definedName>
    <definedName name="NEW_AdjPermVB" localSheetId="0">'ADAA|0001-00'!$AB$38</definedName>
    <definedName name="NEW_AdjPermVB" localSheetId="1">'ADAA|0365-00'!$AB$38</definedName>
    <definedName name="NEW_AdjPermVB" localSheetId="2">'ADAA|0450-00'!$AB$38</definedName>
    <definedName name="NEW_AdjPermVB" localSheetId="3">'ADAA|0519-00'!$AB$38</definedName>
    <definedName name="NEW_AdjPermVB" localSheetId="4">'ADAC|0365-00'!$AB$38</definedName>
    <definedName name="NEW_AdjPermVB" localSheetId="5">'ADAC|0450-00'!$AB$38</definedName>
    <definedName name="NEW_AdjPermVB" localSheetId="6">'ADAD|0450-00'!$AB$38</definedName>
    <definedName name="NEW_AdjPermVB" localSheetId="7">'ADAD|0456-00'!$AB$38</definedName>
    <definedName name="NEW_AdjPermVB" localSheetId="8">'ADAK|0461-00'!$AB$38</definedName>
    <definedName name="NEW_AdjPermVB" localSheetId="9">'ADAK|0462-00'!$AB$38</definedName>
    <definedName name="NEW_AdjPermVB" localSheetId="10">'ADAK|0519-00'!$AB$38</definedName>
    <definedName name="NEW_AdjPermVB" localSheetId="11">'ADAM|0001-00'!$AB$38</definedName>
    <definedName name="NEW_AdjPermVB" localSheetId="12">'ADAM|0450-00'!$AB$38</definedName>
    <definedName name="NEW_AdjPermVB" localSheetId="13">'ADAN|0456-00'!$AB$38</definedName>
    <definedName name="NEW_AdjPermVB" localSheetId="14">'ADAN|0461-00'!$AB$38</definedName>
    <definedName name="NEW_AdjPermVB" localSheetId="15">'ADAN|0462-00'!$AB$38</definedName>
    <definedName name="NEW_AdjPermVB">'B6'!$AB$38</definedName>
    <definedName name="NEW_GroupFilled" localSheetId="0">'ADAA|0001-00'!$AC$11</definedName>
    <definedName name="NEW_GroupFilled" localSheetId="1">'ADAA|0365-00'!$AC$11</definedName>
    <definedName name="NEW_GroupFilled" localSheetId="2">'ADAA|0450-00'!$AC$11</definedName>
    <definedName name="NEW_GroupFilled" localSheetId="3">'ADAA|0519-00'!$AC$11</definedName>
    <definedName name="NEW_GroupFilled" localSheetId="4">'ADAC|0365-00'!$AC$11</definedName>
    <definedName name="NEW_GroupFilled" localSheetId="5">'ADAC|0450-00'!$AC$11</definedName>
    <definedName name="NEW_GroupFilled" localSheetId="6">'ADAD|0450-00'!$AC$11</definedName>
    <definedName name="NEW_GroupFilled" localSheetId="7">'ADAD|0456-00'!$AC$11</definedName>
    <definedName name="NEW_GroupFilled" localSheetId="8">'ADAK|0461-00'!$AC$11</definedName>
    <definedName name="NEW_GroupFilled" localSheetId="9">'ADAK|0462-00'!$AC$11</definedName>
    <definedName name="NEW_GroupFilled" localSheetId="10">'ADAK|0519-00'!$AC$11</definedName>
    <definedName name="NEW_GroupFilled" localSheetId="11">'ADAM|0001-00'!$AC$11</definedName>
    <definedName name="NEW_GroupFilled" localSheetId="12">'ADAM|0450-00'!$AC$11</definedName>
    <definedName name="NEW_GroupFilled" localSheetId="13">'ADAN|0456-00'!$AC$11</definedName>
    <definedName name="NEW_GroupFilled" localSheetId="14">'ADAN|0461-00'!$AC$11</definedName>
    <definedName name="NEW_GroupFilled" localSheetId="15">'ADAN|0462-00'!$AC$11</definedName>
    <definedName name="NEW_GroupFilled">'B6'!$AC$11</definedName>
    <definedName name="NEW_GroupSalaryFilled" localSheetId="0">'ADAA|0001-00'!$AA$11</definedName>
    <definedName name="NEW_GroupSalaryFilled" localSheetId="1">'ADAA|0365-00'!$AA$11</definedName>
    <definedName name="NEW_GroupSalaryFilled" localSheetId="2">'ADAA|0450-00'!$AA$11</definedName>
    <definedName name="NEW_GroupSalaryFilled" localSheetId="3">'ADAA|0519-00'!$AA$11</definedName>
    <definedName name="NEW_GroupSalaryFilled" localSheetId="4">'ADAC|0365-00'!$AA$11</definedName>
    <definedName name="NEW_GroupSalaryFilled" localSheetId="5">'ADAC|0450-00'!$AA$11</definedName>
    <definedName name="NEW_GroupSalaryFilled" localSheetId="6">'ADAD|0450-00'!$AA$11</definedName>
    <definedName name="NEW_GroupSalaryFilled" localSheetId="7">'ADAD|0456-00'!$AA$11</definedName>
    <definedName name="NEW_GroupSalaryFilled" localSheetId="8">'ADAK|0461-00'!$AA$11</definedName>
    <definedName name="NEW_GroupSalaryFilled" localSheetId="9">'ADAK|0462-00'!$AA$11</definedName>
    <definedName name="NEW_GroupSalaryFilled" localSheetId="10">'ADAK|0519-00'!$AA$11</definedName>
    <definedName name="NEW_GroupSalaryFilled" localSheetId="11">'ADAM|0001-00'!$AA$11</definedName>
    <definedName name="NEW_GroupSalaryFilled" localSheetId="12">'ADAM|0450-00'!$AA$11</definedName>
    <definedName name="NEW_GroupSalaryFilled" localSheetId="13">'ADAN|0456-00'!$AA$11</definedName>
    <definedName name="NEW_GroupSalaryFilled" localSheetId="14">'ADAN|0461-00'!$AA$11</definedName>
    <definedName name="NEW_GroupSalaryFilled" localSheetId="15">'ADAN|0462-00'!$AA$11</definedName>
    <definedName name="NEW_GroupSalaryFilled">'B6'!$AA$11</definedName>
    <definedName name="NEW_GroupVBFilled" localSheetId="0">'ADAA|0001-00'!$AB$11</definedName>
    <definedName name="NEW_GroupVBFilled" localSheetId="1">'ADAA|0365-00'!$AB$11</definedName>
    <definedName name="NEW_GroupVBFilled" localSheetId="2">'ADAA|0450-00'!$AB$11</definedName>
    <definedName name="NEW_GroupVBFilled" localSheetId="3">'ADAA|0519-00'!$AB$11</definedName>
    <definedName name="NEW_GroupVBFilled" localSheetId="4">'ADAC|0365-00'!$AB$11</definedName>
    <definedName name="NEW_GroupVBFilled" localSheetId="5">'ADAC|0450-00'!$AB$11</definedName>
    <definedName name="NEW_GroupVBFilled" localSheetId="6">'ADAD|0450-00'!$AB$11</definedName>
    <definedName name="NEW_GroupVBFilled" localSheetId="7">'ADAD|0456-00'!$AB$11</definedName>
    <definedName name="NEW_GroupVBFilled" localSheetId="8">'ADAK|0461-00'!$AB$11</definedName>
    <definedName name="NEW_GroupVBFilled" localSheetId="9">'ADAK|0462-00'!$AB$11</definedName>
    <definedName name="NEW_GroupVBFilled" localSheetId="10">'ADAK|0519-00'!$AB$11</definedName>
    <definedName name="NEW_GroupVBFilled" localSheetId="11">'ADAM|0001-00'!$AB$11</definedName>
    <definedName name="NEW_GroupVBFilled" localSheetId="12">'ADAM|0450-00'!$AB$11</definedName>
    <definedName name="NEW_GroupVBFilled" localSheetId="13">'ADAN|0456-00'!$AB$11</definedName>
    <definedName name="NEW_GroupVBFilled" localSheetId="14">'ADAN|0461-00'!$AB$11</definedName>
    <definedName name="NEW_GroupVBFilled" localSheetId="15">'ADAN|0462-00'!$AB$11</definedName>
    <definedName name="NEW_GroupVBFilled">'B6'!$AB$11</definedName>
    <definedName name="NEW_PermFilled" localSheetId="0">'ADAA|0001-00'!$AC$10</definedName>
    <definedName name="NEW_PermFilled" localSheetId="1">'ADAA|0365-00'!$AC$10</definedName>
    <definedName name="NEW_PermFilled" localSheetId="2">'ADAA|0450-00'!$AC$10</definedName>
    <definedName name="NEW_PermFilled" localSheetId="3">'ADAA|0519-00'!$AC$10</definedName>
    <definedName name="NEW_PermFilled" localSheetId="4">'ADAC|0365-00'!$AC$10</definedName>
    <definedName name="NEW_PermFilled" localSheetId="5">'ADAC|0450-00'!$AC$10</definedName>
    <definedName name="NEW_PermFilled" localSheetId="6">'ADAD|0450-00'!$AC$10</definedName>
    <definedName name="NEW_PermFilled" localSheetId="7">'ADAD|0456-00'!$AC$10</definedName>
    <definedName name="NEW_PermFilled" localSheetId="8">'ADAK|0461-00'!$AC$10</definedName>
    <definedName name="NEW_PermFilled" localSheetId="9">'ADAK|0462-00'!$AC$10</definedName>
    <definedName name="NEW_PermFilled" localSheetId="10">'ADAK|0519-00'!$AC$10</definedName>
    <definedName name="NEW_PermFilled" localSheetId="11">'ADAM|0001-00'!$AC$10</definedName>
    <definedName name="NEW_PermFilled" localSheetId="12">'ADAM|0450-00'!$AC$10</definedName>
    <definedName name="NEW_PermFilled" localSheetId="13">'ADAN|0456-00'!$AC$10</definedName>
    <definedName name="NEW_PermFilled" localSheetId="14">'ADAN|0461-00'!$AC$10</definedName>
    <definedName name="NEW_PermFilled" localSheetId="15">'ADAN|0462-00'!$AC$10</definedName>
    <definedName name="NEW_PermFilled">'B6'!$AC$10</definedName>
    <definedName name="NEW_PermSalaryFilled" localSheetId="0">'ADAA|0001-00'!$AA$10</definedName>
    <definedName name="NEW_PermSalaryFilled" localSheetId="1">'ADAA|0365-00'!$AA$10</definedName>
    <definedName name="NEW_PermSalaryFilled" localSheetId="2">'ADAA|0450-00'!$AA$10</definedName>
    <definedName name="NEW_PermSalaryFilled" localSheetId="3">'ADAA|0519-00'!$AA$10</definedName>
    <definedName name="NEW_PermSalaryFilled" localSheetId="4">'ADAC|0365-00'!$AA$10</definedName>
    <definedName name="NEW_PermSalaryFilled" localSheetId="5">'ADAC|0450-00'!$AA$10</definedName>
    <definedName name="NEW_PermSalaryFilled" localSheetId="6">'ADAD|0450-00'!$AA$10</definedName>
    <definedName name="NEW_PermSalaryFilled" localSheetId="7">'ADAD|0456-00'!$AA$10</definedName>
    <definedName name="NEW_PermSalaryFilled" localSheetId="8">'ADAK|0461-00'!$AA$10</definedName>
    <definedName name="NEW_PermSalaryFilled" localSheetId="9">'ADAK|0462-00'!$AA$10</definedName>
    <definedName name="NEW_PermSalaryFilled" localSheetId="10">'ADAK|0519-00'!$AA$10</definedName>
    <definedName name="NEW_PermSalaryFilled" localSheetId="11">'ADAM|0001-00'!$AA$10</definedName>
    <definedName name="NEW_PermSalaryFilled" localSheetId="12">'ADAM|0450-00'!$AA$10</definedName>
    <definedName name="NEW_PermSalaryFilled" localSheetId="13">'ADAN|0456-00'!$AA$10</definedName>
    <definedName name="NEW_PermSalaryFilled" localSheetId="14">'ADAN|0461-00'!$AA$10</definedName>
    <definedName name="NEW_PermSalaryFilled" localSheetId="15">'ADAN|0462-00'!$AA$10</definedName>
    <definedName name="NEW_PermSalaryFilled">'B6'!$AA$10</definedName>
    <definedName name="NEW_PermVBFilled" localSheetId="0">'ADAA|0001-00'!$AB$10</definedName>
    <definedName name="NEW_PermVBFilled" localSheetId="1">'ADAA|0365-00'!$AB$10</definedName>
    <definedName name="NEW_PermVBFilled" localSheetId="2">'ADAA|0450-00'!$AB$10</definedName>
    <definedName name="NEW_PermVBFilled" localSheetId="3">'ADAA|0519-00'!$AB$10</definedName>
    <definedName name="NEW_PermVBFilled" localSheetId="4">'ADAC|0365-00'!$AB$10</definedName>
    <definedName name="NEW_PermVBFilled" localSheetId="5">'ADAC|0450-00'!$AB$10</definedName>
    <definedName name="NEW_PermVBFilled" localSheetId="6">'ADAD|0450-00'!$AB$10</definedName>
    <definedName name="NEW_PermVBFilled" localSheetId="7">'ADAD|0456-00'!$AB$10</definedName>
    <definedName name="NEW_PermVBFilled" localSheetId="8">'ADAK|0461-00'!$AB$10</definedName>
    <definedName name="NEW_PermVBFilled" localSheetId="9">'ADAK|0462-00'!$AB$10</definedName>
    <definedName name="NEW_PermVBFilled" localSheetId="10">'ADAK|0519-00'!$AB$10</definedName>
    <definedName name="NEW_PermVBFilled" localSheetId="11">'ADAM|0001-00'!$AB$10</definedName>
    <definedName name="NEW_PermVBFilled" localSheetId="12">'ADAM|0450-00'!$AB$10</definedName>
    <definedName name="NEW_PermVBFilled" localSheetId="13">'ADAN|0456-00'!$AB$10</definedName>
    <definedName name="NEW_PermVBFilled" localSheetId="14">'ADAN|0461-00'!$AB$10</definedName>
    <definedName name="NEW_PermVBFilled" localSheetId="15">'ADAN|0462-00'!$AB$10</definedName>
    <definedName name="NEW_PermVBFilled">'B6'!$AB$10</definedName>
    <definedName name="OneTimePC_Total" localSheetId="0">'ADAA|0001-00'!$J$63</definedName>
    <definedName name="OneTimePC_Total" localSheetId="1">'ADAA|0365-00'!$J$63</definedName>
    <definedName name="OneTimePC_Total" localSheetId="2">'ADAA|0450-00'!$J$63</definedName>
    <definedName name="OneTimePC_Total" localSheetId="3">'ADAA|0519-00'!$J$63</definedName>
    <definedName name="OneTimePC_Total" localSheetId="4">'ADAC|0365-00'!$J$63</definedName>
    <definedName name="OneTimePC_Total" localSheetId="5">'ADAC|0450-00'!$J$63</definedName>
    <definedName name="OneTimePC_Total" localSheetId="6">'ADAD|0450-00'!$J$63</definedName>
    <definedName name="OneTimePC_Total" localSheetId="7">'ADAD|0456-00'!$J$63</definedName>
    <definedName name="OneTimePC_Total" localSheetId="8">'ADAK|0461-00'!$J$63</definedName>
    <definedName name="OneTimePC_Total" localSheetId="9">'ADAK|0462-00'!$J$63</definedName>
    <definedName name="OneTimePC_Total" localSheetId="10">'ADAK|0519-00'!$J$63</definedName>
    <definedName name="OneTimePC_Total" localSheetId="11">'ADAM|0001-00'!$J$63</definedName>
    <definedName name="OneTimePC_Total" localSheetId="12">'ADAM|0450-00'!$J$63</definedName>
    <definedName name="OneTimePC_Total" localSheetId="13">'ADAN|0456-00'!$J$63</definedName>
    <definedName name="OneTimePC_Total" localSheetId="14">'ADAN|0461-00'!$J$63</definedName>
    <definedName name="OneTimePC_Total" localSheetId="15">'ADAN|0462-00'!$J$63</definedName>
    <definedName name="OneTimePC_Total">'B6'!$J$63</definedName>
    <definedName name="OrigApprop" localSheetId="0">'ADAA|0001-00'!$E$15</definedName>
    <definedName name="OrigApprop" localSheetId="1">'ADAA|0365-00'!$E$15</definedName>
    <definedName name="OrigApprop" localSheetId="2">'ADAA|0450-00'!$E$15</definedName>
    <definedName name="OrigApprop" localSheetId="3">'ADAA|0519-00'!$E$15</definedName>
    <definedName name="OrigApprop" localSheetId="4">'ADAC|0365-00'!$E$15</definedName>
    <definedName name="OrigApprop" localSheetId="5">'ADAC|0450-00'!$E$15</definedName>
    <definedName name="OrigApprop" localSheetId="6">'ADAD|0450-00'!$E$15</definedName>
    <definedName name="OrigApprop" localSheetId="7">'ADAD|0456-00'!$E$15</definedName>
    <definedName name="OrigApprop" localSheetId="8">'ADAK|0461-00'!$E$15</definedName>
    <definedName name="OrigApprop" localSheetId="9">'ADAK|0462-00'!$E$15</definedName>
    <definedName name="OrigApprop" localSheetId="10">'ADAK|0519-00'!$E$15</definedName>
    <definedName name="OrigApprop" localSheetId="11">'ADAM|0001-00'!$E$15</definedName>
    <definedName name="OrigApprop" localSheetId="12">'ADAM|0450-00'!$E$15</definedName>
    <definedName name="OrigApprop" localSheetId="13">'ADAN|0456-00'!$E$15</definedName>
    <definedName name="OrigApprop" localSheetId="14">'ADAN|0461-00'!$E$15</definedName>
    <definedName name="OrigApprop" localSheetId="15">'ADAN|0462-00'!$E$15</definedName>
    <definedName name="OrigApprop">'B6'!$E$15</definedName>
    <definedName name="perm_name" localSheetId="0">'ADAA|0001-00'!$C$10</definedName>
    <definedName name="perm_name" localSheetId="1">'ADAA|0365-00'!$C$10</definedName>
    <definedName name="perm_name" localSheetId="2">'ADAA|0450-00'!$C$10</definedName>
    <definedName name="perm_name" localSheetId="3">'ADAA|0519-00'!$C$10</definedName>
    <definedName name="perm_name" localSheetId="4">'ADAC|0365-00'!$C$10</definedName>
    <definedName name="perm_name" localSheetId="5">'ADAC|0450-00'!$C$10</definedName>
    <definedName name="perm_name" localSheetId="6">'ADAD|0450-00'!$C$10</definedName>
    <definedName name="perm_name" localSheetId="7">'ADAD|0456-00'!$C$10</definedName>
    <definedName name="perm_name" localSheetId="8">'ADAK|0461-00'!$C$10</definedName>
    <definedName name="perm_name" localSheetId="9">'ADAK|0462-00'!$C$10</definedName>
    <definedName name="perm_name" localSheetId="10">'ADAK|0519-00'!$C$10</definedName>
    <definedName name="perm_name" localSheetId="11">'ADAM|0001-00'!$C$10</definedName>
    <definedName name="perm_name" localSheetId="12">'ADAM|0450-00'!$C$10</definedName>
    <definedName name="perm_name" localSheetId="13">'ADAN|0456-00'!$C$10</definedName>
    <definedName name="perm_name" localSheetId="14">'ADAN|0461-00'!$C$10</definedName>
    <definedName name="perm_name" localSheetId="15">'ADAN|0462-00'!$C$10</definedName>
    <definedName name="perm_name">'B6'!$C$10</definedName>
    <definedName name="PermFTP" localSheetId="0">'ADAA|0001-00'!$F$10</definedName>
    <definedName name="PermFTP" localSheetId="1">'ADAA|0365-00'!$F$10</definedName>
    <definedName name="PermFTP" localSheetId="2">'ADAA|0450-00'!$F$10</definedName>
    <definedName name="PermFTP" localSheetId="3">'ADAA|0519-00'!$F$10</definedName>
    <definedName name="PermFTP" localSheetId="4">'ADAC|0365-00'!$F$10</definedName>
    <definedName name="PermFTP" localSheetId="5">'ADAC|0450-00'!$F$10</definedName>
    <definedName name="PermFTP" localSheetId="6">'ADAD|0450-00'!$F$10</definedName>
    <definedName name="PermFTP" localSheetId="7">'ADAD|0456-00'!$F$10</definedName>
    <definedName name="PermFTP" localSheetId="8">'ADAK|0461-00'!$F$10</definedName>
    <definedName name="PermFTP" localSheetId="9">'ADAK|0462-00'!$F$10</definedName>
    <definedName name="PermFTP" localSheetId="10">'ADAK|0519-00'!$F$10</definedName>
    <definedName name="PermFTP" localSheetId="11">'ADAM|0001-00'!$F$10</definedName>
    <definedName name="PermFTP" localSheetId="12">'ADAM|0450-00'!$F$10</definedName>
    <definedName name="PermFTP" localSheetId="13">'ADAN|0456-00'!$F$10</definedName>
    <definedName name="PermFTP" localSheetId="14">'ADAN|0461-00'!$F$10</definedName>
    <definedName name="PermFTP" localSheetId="15">'ADAN|0462-00'!$F$10</definedName>
    <definedName name="PermFTP">'B6'!$F$10</definedName>
    <definedName name="PermFxdBen" localSheetId="0">'ADAA|0001-00'!$H$10</definedName>
    <definedName name="PermFxdBen" localSheetId="1">'ADAA|0365-00'!$H$10</definedName>
    <definedName name="PermFxdBen" localSheetId="2">'ADAA|0450-00'!$H$10</definedName>
    <definedName name="PermFxdBen" localSheetId="3">'ADAA|0519-00'!$H$10</definedName>
    <definedName name="PermFxdBen" localSheetId="4">'ADAC|0365-00'!$H$10</definedName>
    <definedName name="PermFxdBen" localSheetId="5">'ADAC|0450-00'!$H$10</definedName>
    <definedName name="PermFxdBen" localSheetId="6">'ADAD|0450-00'!$H$10</definedName>
    <definedName name="PermFxdBen" localSheetId="7">'ADAD|0456-00'!$H$10</definedName>
    <definedName name="PermFxdBen" localSheetId="8">'ADAK|0461-00'!$H$10</definedName>
    <definedName name="PermFxdBen" localSheetId="9">'ADAK|0462-00'!$H$10</definedName>
    <definedName name="PermFxdBen" localSheetId="10">'ADAK|0519-00'!$H$10</definedName>
    <definedName name="PermFxdBen" localSheetId="11">'ADAM|0001-00'!$H$10</definedName>
    <definedName name="PermFxdBen" localSheetId="12">'ADAM|0450-00'!$H$10</definedName>
    <definedName name="PermFxdBen" localSheetId="13">'ADAN|0456-00'!$H$10</definedName>
    <definedName name="PermFxdBen" localSheetId="14">'ADAN|0461-00'!$H$10</definedName>
    <definedName name="PermFxdBen" localSheetId="15">'ADAN|0462-00'!$H$10</definedName>
    <definedName name="PermFxdBen">'B6'!$H$10</definedName>
    <definedName name="PermFxdBenChg" localSheetId="0">'ADAA|0001-00'!$L$10</definedName>
    <definedName name="PermFxdBenChg" localSheetId="1">'ADAA|0365-00'!$L$10</definedName>
    <definedName name="PermFxdBenChg" localSheetId="2">'ADAA|0450-00'!$L$10</definedName>
    <definedName name="PermFxdBenChg" localSheetId="3">'ADAA|0519-00'!$L$10</definedName>
    <definedName name="PermFxdBenChg" localSheetId="4">'ADAC|0365-00'!$L$10</definedName>
    <definedName name="PermFxdBenChg" localSheetId="5">'ADAC|0450-00'!$L$10</definedName>
    <definedName name="PermFxdBenChg" localSheetId="6">'ADAD|0450-00'!$L$10</definedName>
    <definedName name="PermFxdBenChg" localSheetId="7">'ADAD|0456-00'!$L$10</definedName>
    <definedName name="PermFxdBenChg" localSheetId="8">'ADAK|0461-00'!$L$10</definedName>
    <definedName name="PermFxdBenChg" localSheetId="9">'ADAK|0462-00'!$L$10</definedName>
    <definedName name="PermFxdBenChg" localSheetId="10">'ADAK|0519-00'!$L$10</definedName>
    <definedName name="PermFxdBenChg" localSheetId="11">'ADAM|0001-00'!$L$10</definedName>
    <definedName name="PermFxdBenChg" localSheetId="12">'ADAM|0450-00'!$L$10</definedName>
    <definedName name="PermFxdBenChg" localSheetId="13">'ADAN|0456-00'!$L$10</definedName>
    <definedName name="PermFxdBenChg" localSheetId="14">'ADAN|0461-00'!$L$10</definedName>
    <definedName name="PermFxdBenChg" localSheetId="15">'ADAN|0462-00'!$L$10</definedName>
    <definedName name="PermFxdBenChg">'B6'!$L$10</definedName>
    <definedName name="PermFxdChg" localSheetId="0">'ADAA|0001-00'!$L$10</definedName>
    <definedName name="PermFxdChg" localSheetId="1">'ADAA|0365-00'!$L$10</definedName>
    <definedName name="PermFxdChg" localSheetId="2">'ADAA|0450-00'!$L$10</definedName>
    <definedName name="PermFxdChg" localSheetId="3">'ADAA|0519-00'!$L$10</definedName>
    <definedName name="PermFxdChg" localSheetId="4">'ADAC|0365-00'!$L$10</definedName>
    <definedName name="PermFxdChg" localSheetId="5">'ADAC|0450-00'!$L$10</definedName>
    <definedName name="PermFxdChg" localSheetId="6">'ADAD|0450-00'!$L$10</definedName>
    <definedName name="PermFxdChg" localSheetId="7">'ADAD|0456-00'!$L$10</definedName>
    <definedName name="PermFxdChg" localSheetId="8">'ADAK|0461-00'!$L$10</definedName>
    <definedName name="PermFxdChg" localSheetId="9">'ADAK|0462-00'!$L$10</definedName>
    <definedName name="PermFxdChg" localSheetId="10">'ADAK|0519-00'!$L$10</definedName>
    <definedName name="PermFxdChg" localSheetId="11">'ADAM|0001-00'!$L$10</definedName>
    <definedName name="PermFxdChg" localSheetId="12">'ADAM|0450-00'!$L$10</definedName>
    <definedName name="PermFxdChg" localSheetId="13">'ADAN|0456-00'!$L$10</definedName>
    <definedName name="PermFxdChg" localSheetId="14">'ADAN|0461-00'!$L$10</definedName>
    <definedName name="PermFxdChg" localSheetId="15">'ADAN|0462-00'!$L$10</definedName>
    <definedName name="PermFxdChg">'B6'!$L$10</definedName>
    <definedName name="PermSalary" localSheetId="0">'ADAA|0001-00'!$G$10</definedName>
    <definedName name="PermSalary" localSheetId="1">'ADAA|0365-00'!$G$10</definedName>
    <definedName name="PermSalary" localSheetId="2">'ADAA|0450-00'!$G$10</definedName>
    <definedName name="PermSalary" localSheetId="3">'ADAA|0519-00'!$G$10</definedName>
    <definedName name="PermSalary" localSheetId="4">'ADAC|0365-00'!$G$10</definedName>
    <definedName name="PermSalary" localSheetId="5">'ADAC|0450-00'!$G$10</definedName>
    <definedName name="PermSalary" localSheetId="6">'ADAD|0450-00'!$G$10</definedName>
    <definedName name="PermSalary" localSheetId="7">'ADAD|0456-00'!$G$10</definedName>
    <definedName name="PermSalary" localSheetId="8">'ADAK|0461-00'!$G$10</definedName>
    <definedName name="PermSalary" localSheetId="9">'ADAK|0462-00'!$G$10</definedName>
    <definedName name="PermSalary" localSheetId="10">'ADAK|0519-00'!$G$10</definedName>
    <definedName name="PermSalary" localSheetId="11">'ADAM|0001-00'!$G$10</definedName>
    <definedName name="PermSalary" localSheetId="12">'ADAM|0450-00'!$G$10</definedName>
    <definedName name="PermSalary" localSheetId="13">'ADAN|0456-00'!$G$10</definedName>
    <definedName name="PermSalary" localSheetId="14">'ADAN|0461-00'!$G$10</definedName>
    <definedName name="PermSalary" localSheetId="15">'ADAN|0462-00'!$G$10</definedName>
    <definedName name="PermSalary">'B6'!$G$10</definedName>
    <definedName name="PermVarBen" localSheetId="0">'ADAA|0001-00'!$I$10</definedName>
    <definedName name="PermVarBen" localSheetId="1">'ADAA|0365-00'!$I$10</definedName>
    <definedName name="PermVarBen" localSheetId="2">'ADAA|0450-00'!$I$10</definedName>
    <definedName name="PermVarBen" localSheetId="3">'ADAA|0519-00'!$I$10</definedName>
    <definedName name="PermVarBen" localSheetId="4">'ADAC|0365-00'!$I$10</definedName>
    <definedName name="PermVarBen" localSheetId="5">'ADAC|0450-00'!$I$10</definedName>
    <definedName name="PermVarBen" localSheetId="6">'ADAD|0450-00'!$I$10</definedName>
    <definedName name="PermVarBen" localSheetId="7">'ADAD|0456-00'!$I$10</definedName>
    <definedName name="PermVarBen" localSheetId="8">'ADAK|0461-00'!$I$10</definedName>
    <definedName name="PermVarBen" localSheetId="9">'ADAK|0462-00'!$I$10</definedName>
    <definedName name="PermVarBen" localSheetId="10">'ADAK|0519-00'!$I$10</definedName>
    <definedName name="PermVarBen" localSheetId="11">'ADAM|0001-00'!$I$10</definedName>
    <definedName name="PermVarBen" localSheetId="12">'ADAM|0450-00'!$I$10</definedName>
    <definedName name="PermVarBen" localSheetId="13">'ADAN|0456-00'!$I$10</definedName>
    <definedName name="PermVarBen" localSheetId="14">'ADAN|0461-00'!$I$10</definedName>
    <definedName name="PermVarBen" localSheetId="15">'ADAN|0462-00'!$I$10</definedName>
    <definedName name="PermVarBen">'B6'!$I$10</definedName>
    <definedName name="PermVarBenChg" localSheetId="0">'ADAA|0001-00'!$M$10</definedName>
    <definedName name="PermVarBenChg" localSheetId="1">'ADAA|0365-00'!$M$10</definedName>
    <definedName name="PermVarBenChg" localSheetId="2">'ADAA|0450-00'!$M$10</definedName>
    <definedName name="PermVarBenChg" localSheetId="3">'ADAA|0519-00'!$M$10</definedName>
    <definedName name="PermVarBenChg" localSheetId="4">'ADAC|0365-00'!$M$10</definedName>
    <definedName name="PermVarBenChg" localSheetId="5">'ADAC|0450-00'!$M$10</definedName>
    <definedName name="PermVarBenChg" localSheetId="6">'ADAD|0450-00'!$M$10</definedName>
    <definedName name="PermVarBenChg" localSheetId="7">'ADAD|0456-00'!$M$10</definedName>
    <definedName name="PermVarBenChg" localSheetId="8">'ADAK|0461-00'!$M$10</definedName>
    <definedName name="PermVarBenChg" localSheetId="9">'ADAK|0462-00'!$M$10</definedName>
    <definedName name="PermVarBenChg" localSheetId="10">'ADAK|0519-00'!$M$10</definedName>
    <definedName name="PermVarBenChg" localSheetId="11">'ADAM|0001-00'!$M$10</definedName>
    <definedName name="PermVarBenChg" localSheetId="12">'ADAM|0450-00'!$M$10</definedName>
    <definedName name="PermVarBenChg" localSheetId="13">'ADAN|0456-00'!$M$10</definedName>
    <definedName name="PermVarBenChg" localSheetId="14">'ADAN|0461-00'!$M$10</definedName>
    <definedName name="PermVarBenChg" localSheetId="15">'ADAN|0462-00'!$M$10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0">'ADAA|0001-00'!$A$1:$N$81</definedName>
    <definedName name="_xlnm.Print_Area" localSheetId="1">'ADAA|0365-00'!$A$1:$N$81</definedName>
    <definedName name="_xlnm.Print_Area" localSheetId="2">'ADAA|0450-00'!$A$1:$N$81</definedName>
    <definedName name="_xlnm.Print_Area" localSheetId="3">'ADAA|0519-00'!$A$1:$N$81</definedName>
    <definedName name="_xlnm.Print_Area" localSheetId="4">'ADAC|0365-00'!$A$1:$N$81</definedName>
    <definedName name="_xlnm.Print_Area" localSheetId="5">'ADAC|0450-00'!$A$1:$N$81</definedName>
    <definedName name="_xlnm.Print_Area" localSheetId="6">'ADAD|0450-00'!$A$1:$N$81</definedName>
    <definedName name="_xlnm.Print_Area" localSheetId="7">'ADAD|0456-00'!$A$1:$N$81</definedName>
    <definedName name="_xlnm.Print_Area" localSheetId="8">'ADAK|0461-00'!$A$1:$N$81</definedName>
    <definedName name="_xlnm.Print_Area" localSheetId="9">'ADAK|0462-00'!$A$1:$N$81</definedName>
    <definedName name="_xlnm.Print_Area" localSheetId="10">'ADAK|0519-00'!$A$1:$N$81</definedName>
    <definedName name="_xlnm.Print_Area" localSheetId="11">'ADAM|0001-00'!$A$1:$N$81</definedName>
    <definedName name="_xlnm.Print_Area" localSheetId="12">'ADAM|0450-00'!$A$1:$N$81</definedName>
    <definedName name="_xlnm.Print_Area" localSheetId="13">'ADAN|0456-00'!$A$1:$N$81</definedName>
    <definedName name="_xlnm.Print_Area" localSheetId="14">'ADAN|0461-00'!$A$1:$N$81</definedName>
    <definedName name="_xlnm.Print_Area" localSheetId="15">'ADAN|0462-00'!$A$1:$N$81</definedName>
    <definedName name="_xlnm.Print_Area" localSheetId="18">'B6'!$A$1:$N$81</definedName>
    <definedName name="_xlnm.Print_Area" localSheetId="17">Benefits!$A$1:$G$36</definedName>
    <definedName name="Prog_Unadjusted_Total" localSheetId="0">'ADAA|0001-00'!$C$8:$N$16</definedName>
    <definedName name="Prog_Unadjusted_Total" localSheetId="1">'ADAA|0365-00'!$C$8:$N$16</definedName>
    <definedName name="Prog_Unadjusted_Total" localSheetId="2">'ADAA|0450-00'!$C$8:$N$16</definedName>
    <definedName name="Prog_Unadjusted_Total" localSheetId="3">'ADAA|0519-00'!$C$8:$N$16</definedName>
    <definedName name="Prog_Unadjusted_Total" localSheetId="4">'ADAC|0365-00'!$C$8:$N$16</definedName>
    <definedName name="Prog_Unadjusted_Total" localSheetId="5">'ADAC|0450-00'!$C$8:$N$16</definedName>
    <definedName name="Prog_Unadjusted_Total" localSheetId="6">'ADAD|0450-00'!$C$8:$N$16</definedName>
    <definedName name="Prog_Unadjusted_Total" localSheetId="7">'ADAD|0456-00'!$C$8:$N$16</definedName>
    <definedName name="Prog_Unadjusted_Total" localSheetId="8">'ADAK|0461-00'!$C$8:$N$16</definedName>
    <definedName name="Prog_Unadjusted_Total" localSheetId="9">'ADAK|0462-00'!$C$8:$N$16</definedName>
    <definedName name="Prog_Unadjusted_Total" localSheetId="10">'ADAK|0519-00'!$C$8:$N$16</definedName>
    <definedName name="Prog_Unadjusted_Total" localSheetId="11">'ADAM|0001-00'!$C$8:$N$16</definedName>
    <definedName name="Prog_Unadjusted_Total" localSheetId="12">'ADAM|0450-00'!$C$8:$N$16</definedName>
    <definedName name="Prog_Unadjusted_Total" localSheetId="13">'ADAN|0456-00'!$C$8:$N$16</definedName>
    <definedName name="Prog_Unadjusted_Total" localSheetId="14">'ADAN|0461-00'!$C$8:$N$16</definedName>
    <definedName name="Prog_Unadjusted_Total" localSheetId="15">'ADAN|0462-00'!$C$8:$N$16</definedName>
    <definedName name="Prog_Unadjusted_Total">'B6'!$C$8:$N$16</definedName>
    <definedName name="Program" localSheetId="0">'ADAA|0001-00'!$D$3</definedName>
    <definedName name="Program" localSheetId="1">'ADAA|0365-00'!$D$3</definedName>
    <definedName name="Program" localSheetId="2">'ADAA|0450-00'!$D$3</definedName>
    <definedName name="Program" localSheetId="3">'ADAA|0519-00'!$D$3</definedName>
    <definedName name="Program" localSheetId="4">'ADAC|0365-00'!$D$3</definedName>
    <definedName name="Program" localSheetId="5">'ADAC|0450-00'!$D$3</definedName>
    <definedName name="Program" localSheetId="6">'ADAD|0450-00'!$D$3</definedName>
    <definedName name="Program" localSheetId="7">'ADAD|0456-00'!$D$3</definedName>
    <definedName name="Program" localSheetId="8">'ADAK|0461-00'!$D$3</definedName>
    <definedName name="Program" localSheetId="9">'ADAK|0462-00'!$D$3</definedName>
    <definedName name="Program" localSheetId="10">'ADAK|0519-00'!$D$3</definedName>
    <definedName name="Program" localSheetId="11">'ADAM|0001-00'!$D$3</definedName>
    <definedName name="Program" localSheetId="12">'ADAM|0450-00'!$D$3</definedName>
    <definedName name="Program" localSheetId="13">'ADAN|0456-00'!$D$3</definedName>
    <definedName name="Program" localSheetId="14">'ADAN|0461-00'!$D$3</definedName>
    <definedName name="Program" localSheetId="15">'ADAN|0462-00'!$D$3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'ADAA|0001-00'!$G$52</definedName>
    <definedName name="RoundedAppropSalary" localSheetId="1">'ADAA|0365-00'!$G$52</definedName>
    <definedName name="RoundedAppropSalary" localSheetId="2">'ADAA|0450-00'!$G$52</definedName>
    <definedName name="RoundedAppropSalary" localSheetId="3">'ADAA|0519-00'!$G$52</definedName>
    <definedName name="RoundedAppropSalary" localSheetId="4">'ADAC|0365-00'!$G$52</definedName>
    <definedName name="RoundedAppropSalary" localSheetId="5">'ADAC|0450-00'!$G$52</definedName>
    <definedName name="RoundedAppropSalary" localSheetId="6">'ADAD|0450-00'!$G$52</definedName>
    <definedName name="RoundedAppropSalary" localSheetId="7">'ADAD|0456-00'!$G$52</definedName>
    <definedName name="RoundedAppropSalary" localSheetId="8">'ADAK|0461-00'!$G$52</definedName>
    <definedName name="RoundedAppropSalary" localSheetId="9">'ADAK|0462-00'!$G$52</definedName>
    <definedName name="RoundedAppropSalary" localSheetId="10">'ADAK|0519-00'!$G$52</definedName>
    <definedName name="RoundedAppropSalary" localSheetId="11">'ADAM|0001-00'!$G$52</definedName>
    <definedName name="RoundedAppropSalary" localSheetId="12">'ADAM|0450-00'!$G$52</definedName>
    <definedName name="RoundedAppropSalary" localSheetId="13">'ADAN|0456-00'!$G$52</definedName>
    <definedName name="RoundedAppropSalary" localSheetId="14">'ADAN|0461-00'!$G$52</definedName>
    <definedName name="RoundedAppropSalary" localSheetId="15">'ADAN|0462-00'!$G$52</definedName>
    <definedName name="RoundedAppropSalary">'B6'!$G$52</definedName>
    <definedName name="SalaryChg" localSheetId="0">'ADAA|0001-00'!$K$10</definedName>
    <definedName name="SalaryChg" localSheetId="1">'ADAA|0365-00'!$K$10</definedName>
    <definedName name="SalaryChg" localSheetId="2">'ADAA|0450-00'!$K$10</definedName>
    <definedName name="SalaryChg" localSheetId="3">'ADAA|0519-00'!$K$10</definedName>
    <definedName name="SalaryChg" localSheetId="4">'ADAC|0365-00'!$K$10</definedName>
    <definedName name="SalaryChg" localSheetId="5">'ADAC|0450-00'!$K$10</definedName>
    <definedName name="SalaryChg" localSheetId="6">'ADAD|0450-00'!$K$10</definedName>
    <definedName name="SalaryChg" localSheetId="7">'ADAD|0456-00'!$K$10</definedName>
    <definedName name="SalaryChg" localSheetId="8">'ADAK|0461-00'!$K$10</definedName>
    <definedName name="SalaryChg" localSheetId="9">'ADAK|0462-00'!$K$10</definedName>
    <definedName name="SalaryChg" localSheetId="10">'ADAK|0519-00'!$K$10</definedName>
    <definedName name="SalaryChg" localSheetId="11">'ADAM|0001-00'!$K$10</definedName>
    <definedName name="SalaryChg" localSheetId="12">'ADAM|0450-00'!$K$10</definedName>
    <definedName name="SalaryChg" localSheetId="13">'ADAN|0456-00'!$K$10</definedName>
    <definedName name="SalaryChg" localSheetId="14">'ADAN|0461-00'!$K$10</definedName>
    <definedName name="SalaryChg" localSheetId="15">'ADAN|0462-00'!$K$10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'ADAA|0001-00'!#REF!</definedName>
    <definedName name="SubCECBase" localSheetId="1">'ADAA|0365-00'!#REF!</definedName>
    <definedName name="SubCECBase" localSheetId="2">'ADAA|0450-00'!#REF!</definedName>
    <definedName name="SubCECBase" localSheetId="3">'ADAA|0519-00'!#REF!</definedName>
    <definedName name="SubCECBase" localSheetId="4">'ADAC|0365-00'!#REF!</definedName>
    <definedName name="SubCECBase" localSheetId="5">'ADAC|0450-00'!#REF!</definedName>
    <definedName name="SubCECBase" localSheetId="6">'ADAD|0450-00'!#REF!</definedName>
    <definedName name="SubCECBase" localSheetId="7">'ADAD|0456-00'!#REF!</definedName>
    <definedName name="SubCECBase" localSheetId="8">'ADAK|0461-00'!#REF!</definedName>
    <definedName name="SubCECBase" localSheetId="9">'ADAK|0462-00'!#REF!</definedName>
    <definedName name="SubCECBase" localSheetId="10">'ADAK|0519-00'!#REF!</definedName>
    <definedName name="SubCECBase" localSheetId="11">'ADAM|0001-00'!#REF!</definedName>
    <definedName name="SubCECBase" localSheetId="12">'ADAM|0450-00'!#REF!</definedName>
    <definedName name="SubCECBase" localSheetId="13">'ADAN|0456-00'!#REF!</definedName>
    <definedName name="SubCECBase" localSheetId="14">'ADAN|0461-00'!#REF!</definedName>
    <definedName name="SubCECBase" localSheetId="15">'ADAN|0462-00'!#REF!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K18" i="11"/>
  <c r="L18" i="11"/>
  <c r="E19" i="11"/>
  <c r="F19" i="11"/>
  <c r="G19" i="11"/>
  <c r="H19" i="11"/>
  <c r="I19" i="11"/>
  <c r="K19" i="11"/>
  <c r="L19" i="11"/>
  <c r="E20" i="11"/>
  <c r="F20" i="11"/>
  <c r="G20" i="11"/>
  <c r="H20" i="11"/>
  <c r="I20" i="11"/>
  <c r="K20" i="11"/>
  <c r="L20" i="11"/>
  <c r="E21" i="11"/>
  <c r="F21" i="11"/>
  <c r="G21" i="11"/>
  <c r="H21" i="11"/>
  <c r="I21" i="11"/>
  <c r="K21" i="11"/>
  <c r="L21" i="11"/>
  <c r="E22" i="11"/>
  <c r="F22" i="11"/>
  <c r="G22" i="11"/>
  <c r="H22" i="11"/>
  <c r="I22" i="11"/>
  <c r="K22" i="11"/>
  <c r="L22" i="11"/>
  <c r="E23" i="11"/>
  <c r="F23" i="11"/>
  <c r="G23" i="11"/>
  <c r="H23" i="11"/>
  <c r="I23" i="11"/>
  <c r="K23" i="11"/>
  <c r="L23" i="11"/>
  <c r="E24" i="11"/>
  <c r="F24" i="11"/>
  <c r="G24" i="11"/>
  <c r="H24" i="11"/>
  <c r="I24" i="11"/>
  <c r="K24" i="11"/>
  <c r="L24" i="11"/>
  <c r="E25" i="11"/>
  <c r="F25" i="11"/>
  <c r="G25" i="11"/>
  <c r="H25" i="11"/>
  <c r="I25" i="11"/>
  <c r="K25" i="11"/>
  <c r="L25" i="11"/>
  <c r="E26" i="11"/>
  <c r="F26" i="11"/>
  <c r="G26" i="11"/>
  <c r="H26" i="11"/>
  <c r="I26" i="11"/>
  <c r="K26" i="11"/>
  <c r="L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K28" i="11"/>
  <c r="L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J31" i="11"/>
  <c r="K31" i="11"/>
  <c r="L31" i="11"/>
  <c r="M31" i="11"/>
  <c r="E32" i="11"/>
  <c r="F32" i="11"/>
  <c r="G32" i="11"/>
  <c r="H32" i="11"/>
  <c r="I32" i="11"/>
  <c r="J32" i="11"/>
  <c r="K32" i="11"/>
  <c r="L32" i="11"/>
  <c r="M32" i="11"/>
  <c r="E33" i="11"/>
  <c r="F33" i="11"/>
  <c r="G33" i="11"/>
  <c r="H33" i="11"/>
  <c r="I33" i="11"/>
  <c r="J33" i="11"/>
  <c r="K33" i="11"/>
  <c r="L33" i="11"/>
  <c r="M33" i="11"/>
  <c r="E34" i="11"/>
  <c r="F34" i="11"/>
  <c r="G34" i="11"/>
  <c r="H34" i="11"/>
  <c r="I34" i="11"/>
  <c r="J34" i="11"/>
  <c r="K34" i="11"/>
  <c r="L34" i="11"/>
  <c r="M34" i="11"/>
  <c r="E35" i="11"/>
  <c r="F35" i="11"/>
  <c r="G35" i="11"/>
  <c r="H35" i="11"/>
  <c r="I35" i="11"/>
  <c r="J35" i="11"/>
  <c r="K35" i="11"/>
  <c r="L35" i="11"/>
  <c r="M35" i="11"/>
  <c r="E36" i="11"/>
  <c r="F36" i="11"/>
  <c r="G36" i="11"/>
  <c r="H36" i="11"/>
  <c r="I36" i="11"/>
  <c r="J36" i="11"/>
  <c r="K36" i="11"/>
  <c r="L36" i="11"/>
  <c r="M36" i="11"/>
  <c r="E37" i="11"/>
  <c r="F37" i="11"/>
  <c r="G37" i="11"/>
  <c r="H37" i="11"/>
  <c r="I37" i="11"/>
  <c r="J37" i="11"/>
  <c r="K37" i="11"/>
  <c r="L37" i="11"/>
  <c r="M37" i="11"/>
  <c r="E38" i="11"/>
  <c r="F38" i="11"/>
  <c r="G38" i="11"/>
  <c r="H38" i="11"/>
  <c r="I38" i="11"/>
  <c r="J38" i="11"/>
  <c r="K38" i="11"/>
  <c r="L38" i="11"/>
  <c r="M38" i="11"/>
  <c r="E39" i="11"/>
  <c r="F39" i="11"/>
  <c r="G39" i="11"/>
  <c r="H39" i="11"/>
  <c r="I39" i="11"/>
  <c r="J39" i="11"/>
  <c r="K39" i="11"/>
  <c r="L39" i="11"/>
  <c r="M39" i="11"/>
  <c r="E40" i="11"/>
  <c r="F40" i="11"/>
  <c r="G40" i="11"/>
  <c r="H40" i="11"/>
  <c r="I40" i="11"/>
  <c r="J40" i="11"/>
  <c r="K40" i="11"/>
  <c r="L40" i="11"/>
  <c r="M40" i="11"/>
  <c r="E41" i="11"/>
  <c r="F41" i="11"/>
  <c r="G41" i="11"/>
  <c r="H41" i="11"/>
  <c r="I41" i="11"/>
  <c r="K41" i="11"/>
  <c r="L41" i="11"/>
  <c r="AZ299" i="5"/>
  <c r="AY299" i="5"/>
  <c r="AW299" i="5"/>
  <c r="AV299" i="5"/>
  <c r="AU299" i="5"/>
  <c r="AT299" i="5"/>
  <c r="AS299" i="5"/>
  <c r="BA297" i="5"/>
  <c r="AZ297" i="5"/>
  <c r="AY297" i="5"/>
  <c r="AX297" i="5"/>
  <c r="AW297" i="5"/>
  <c r="AV297" i="5"/>
  <c r="AU297" i="5"/>
  <c r="AT297" i="5"/>
  <c r="AS297" i="5"/>
  <c r="AZ286" i="5"/>
  <c r="AY286" i="5"/>
  <c r="AW286" i="5"/>
  <c r="AV286" i="5"/>
  <c r="AU286" i="5"/>
  <c r="AT286" i="5"/>
  <c r="AS286" i="5"/>
  <c r="AZ295" i="5"/>
  <c r="AW295" i="5"/>
  <c r="AZ293" i="5"/>
  <c r="AW293" i="5"/>
  <c r="AZ290" i="5"/>
  <c r="AW290" i="5"/>
  <c r="A174" i="10"/>
  <c r="K167" i="10"/>
  <c r="J167" i="10"/>
  <c r="I167" i="10"/>
  <c r="H167" i="10"/>
  <c r="G167" i="10"/>
  <c r="F167" i="10"/>
  <c r="E167" i="10"/>
  <c r="C80" i="32"/>
  <c r="J79" i="32"/>
  <c r="J78" i="32"/>
  <c r="J77" i="32"/>
  <c r="C75" i="32"/>
  <c r="J74" i="32"/>
  <c r="I74" i="32"/>
  <c r="E73" i="32"/>
  <c r="E72" i="32"/>
  <c r="I71" i="32"/>
  <c r="J71" i="32" s="1"/>
  <c r="J70" i="32"/>
  <c r="C67" i="32"/>
  <c r="J66" i="32"/>
  <c r="I66" i="32"/>
  <c r="H66" i="32"/>
  <c r="G66" i="32"/>
  <c r="N64" i="32"/>
  <c r="J64" i="32"/>
  <c r="N63" i="32"/>
  <c r="H63" i="32"/>
  <c r="G63" i="32"/>
  <c r="I63" i="32" s="1"/>
  <c r="N62" i="32"/>
  <c r="J62" i="32"/>
  <c r="C60" i="32"/>
  <c r="N59" i="32"/>
  <c r="J59" i="32"/>
  <c r="N58" i="32"/>
  <c r="J58" i="32"/>
  <c r="C56" i="32"/>
  <c r="N55" i="32"/>
  <c r="J55" i="32"/>
  <c r="J54" i="32"/>
  <c r="F51" i="32"/>
  <c r="F52" i="32" s="1"/>
  <c r="F56" i="32" s="1"/>
  <c r="F60" i="32" s="1"/>
  <c r="E51" i="32"/>
  <c r="C51" i="32"/>
  <c r="M50" i="32"/>
  <c r="L50" i="32"/>
  <c r="K50" i="32"/>
  <c r="J50" i="32"/>
  <c r="I50" i="32"/>
  <c r="H50" i="32"/>
  <c r="G50" i="32"/>
  <c r="C40" i="32"/>
  <c r="M39" i="32"/>
  <c r="L39" i="32"/>
  <c r="H39" i="32"/>
  <c r="F39" i="32"/>
  <c r="C39" i="32"/>
  <c r="C38" i="32"/>
  <c r="M35" i="32"/>
  <c r="L35" i="32"/>
  <c r="J35" i="32"/>
  <c r="I35" i="32"/>
  <c r="H35" i="32"/>
  <c r="M34" i="32"/>
  <c r="L34" i="32"/>
  <c r="J34" i="32"/>
  <c r="I34" i="32"/>
  <c r="H34" i="32"/>
  <c r="M33" i="32"/>
  <c r="L33" i="32"/>
  <c r="J33" i="32"/>
  <c r="I33" i="32"/>
  <c r="H33" i="32"/>
  <c r="M32" i="32"/>
  <c r="N32" i="32" s="1"/>
  <c r="L32" i="32"/>
  <c r="J32" i="32"/>
  <c r="I32" i="32"/>
  <c r="H32" i="32"/>
  <c r="M30" i="32"/>
  <c r="L30" i="32"/>
  <c r="J30" i="32"/>
  <c r="I30" i="32"/>
  <c r="H30" i="32"/>
  <c r="M29" i="32"/>
  <c r="L29" i="32"/>
  <c r="J29" i="32"/>
  <c r="I29" i="32"/>
  <c r="H29" i="32"/>
  <c r="M28" i="32"/>
  <c r="L28" i="32"/>
  <c r="J28" i="32"/>
  <c r="I28" i="32"/>
  <c r="H28" i="32"/>
  <c r="M27" i="32"/>
  <c r="N27" i="32" s="1"/>
  <c r="L27" i="32"/>
  <c r="J27" i="32"/>
  <c r="I27" i="32"/>
  <c r="H27" i="32"/>
  <c r="M26" i="32"/>
  <c r="L26" i="32"/>
  <c r="J26" i="32"/>
  <c r="I26" i="32"/>
  <c r="H26" i="32"/>
  <c r="M25" i="32"/>
  <c r="L25" i="32"/>
  <c r="J25" i="32"/>
  <c r="I25" i="32"/>
  <c r="H25" i="32"/>
  <c r="M24" i="32"/>
  <c r="L24" i="32"/>
  <c r="J24" i="32"/>
  <c r="I24" i="32"/>
  <c r="H24" i="32"/>
  <c r="M23" i="32"/>
  <c r="N23" i="32" s="1"/>
  <c r="L23" i="32"/>
  <c r="J23" i="32"/>
  <c r="I23" i="32"/>
  <c r="H23" i="32"/>
  <c r="M22" i="32"/>
  <c r="L22" i="32"/>
  <c r="J22" i="32"/>
  <c r="I22" i="32"/>
  <c r="H22" i="32"/>
  <c r="M21" i="32"/>
  <c r="L21" i="32"/>
  <c r="J21" i="32"/>
  <c r="I21" i="32"/>
  <c r="H21" i="32"/>
  <c r="M20" i="32"/>
  <c r="L20" i="32"/>
  <c r="J20" i="32"/>
  <c r="I20" i="32"/>
  <c r="H20" i="32"/>
  <c r="C15" i="32"/>
  <c r="AC11" i="32"/>
  <c r="M8" i="32"/>
  <c r="L8" i="32"/>
  <c r="K8" i="32"/>
  <c r="J8" i="32"/>
  <c r="I8" i="32"/>
  <c r="H8" i="32"/>
  <c r="G8" i="32"/>
  <c r="A163" i="10"/>
  <c r="K156" i="10"/>
  <c r="J156" i="10"/>
  <c r="I156" i="10"/>
  <c r="H156" i="10"/>
  <c r="G156" i="10"/>
  <c r="F156" i="10"/>
  <c r="E156" i="10"/>
  <c r="C80" i="31"/>
  <c r="J79" i="31"/>
  <c r="J78" i="31"/>
  <c r="J77" i="31"/>
  <c r="C75" i="31"/>
  <c r="I74" i="31"/>
  <c r="J74" i="31" s="1"/>
  <c r="E73" i="31"/>
  <c r="E72" i="31"/>
  <c r="I71" i="31"/>
  <c r="J71" i="31" s="1"/>
  <c r="J70" i="31"/>
  <c r="C67" i="31"/>
  <c r="J66" i="31"/>
  <c r="I66" i="31"/>
  <c r="H66" i="31"/>
  <c r="G66" i="31"/>
  <c r="N64" i="31"/>
  <c r="J64" i="31"/>
  <c r="N63" i="31"/>
  <c r="H63" i="31"/>
  <c r="G63" i="31" s="1"/>
  <c r="I63" i="31" s="1"/>
  <c r="N62" i="31"/>
  <c r="J62" i="31"/>
  <c r="C60" i="31"/>
  <c r="N59" i="31"/>
  <c r="J59" i="31"/>
  <c r="N58" i="31"/>
  <c r="J58" i="31"/>
  <c r="C56" i="31"/>
  <c r="N55" i="31"/>
  <c r="J55" i="31"/>
  <c r="J54" i="31"/>
  <c r="F51" i="31"/>
  <c r="E51" i="31"/>
  <c r="C51" i="31"/>
  <c r="M50" i="31"/>
  <c r="L50" i="31"/>
  <c r="K50" i="31"/>
  <c r="J50" i="31"/>
  <c r="I50" i="31"/>
  <c r="H50" i="31"/>
  <c r="G50" i="31"/>
  <c r="C40" i="31"/>
  <c r="M39" i="31"/>
  <c r="L39" i="31"/>
  <c r="H39" i="31"/>
  <c r="F39" i="31"/>
  <c r="C39" i="31"/>
  <c r="C38" i="31"/>
  <c r="M35" i="31"/>
  <c r="L35" i="31"/>
  <c r="J35" i="31"/>
  <c r="I35" i="31"/>
  <c r="H35" i="31"/>
  <c r="M34" i="31"/>
  <c r="L34" i="31"/>
  <c r="J34" i="31"/>
  <c r="I34" i="31"/>
  <c r="H34" i="31"/>
  <c r="M33" i="31"/>
  <c r="N33" i="31" s="1"/>
  <c r="L33" i="31"/>
  <c r="J33" i="31"/>
  <c r="I33" i="31"/>
  <c r="H33" i="31"/>
  <c r="M32" i="31"/>
  <c r="N32" i="31" s="1"/>
  <c r="L32" i="31"/>
  <c r="J32" i="31"/>
  <c r="I32" i="31"/>
  <c r="H32" i="31"/>
  <c r="M30" i="31"/>
  <c r="L30" i="31"/>
  <c r="J30" i="31"/>
  <c r="I30" i="31"/>
  <c r="H30" i="31"/>
  <c r="M29" i="31"/>
  <c r="L29" i="31"/>
  <c r="J29" i="31"/>
  <c r="I29" i="31"/>
  <c r="H29" i="31"/>
  <c r="M28" i="31"/>
  <c r="N28" i="31" s="1"/>
  <c r="L28" i="31"/>
  <c r="J28" i="31"/>
  <c r="I28" i="31"/>
  <c r="H28" i="31"/>
  <c r="M27" i="31"/>
  <c r="N27" i="31" s="1"/>
  <c r="L27" i="31"/>
  <c r="J27" i="31"/>
  <c r="I27" i="31"/>
  <c r="H27" i="31"/>
  <c r="M26" i="31"/>
  <c r="L26" i="31"/>
  <c r="J26" i="31"/>
  <c r="I26" i="31"/>
  <c r="H26" i="31"/>
  <c r="M25" i="31"/>
  <c r="L25" i="31"/>
  <c r="J25" i="31"/>
  <c r="I25" i="31"/>
  <c r="H25" i="31"/>
  <c r="M24" i="31"/>
  <c r="N24" i="31" s="1"/>
  <c r="L24" i="31"/>
  <c r="J24" i="31"/>
  <c r="I24" i="31"/>
  <c r="H24" i="31"/>
  <c r="M23" i="31"/>
  <c r="L23" i="31"/>
  <c r="J23" i="31"/>
  <c r="I23" i="31"/>
  <c r="H23" i="31"/>
  <c r="M22" i="31"/>
  <c r="L22" i="31"/>
  <c r="J22" i="31"/>
  <c r="I22" i="31"/>
  <c r="H22" i="31"/>
  <c r="M21" i="31"/>
  <c r="N21" i="31" s="1"/>
  <c r="L21" i="31"/>
  <c r="J21" i="31"/>
  <c r="I21" i="31"/>
  <c r="H21" i="31"/>
  <c r="M20" i="31"/>
  <c r="L20" i="31"/>
  <c r="J20" i="31"/>
  <c r="I20" i="31"/>
  <c r="H20" i="31"/>
  <c r="C15" i="31"/>
  <c r="AC11" i="31"/>
  <c r="M8" i="31"/>
  <c r="L8" i="31"/>
  <c r="K8" i="31"/>
  <c r="J8" i="31"/>
  <c r="I8" i="31"/>
  <c r="H8" i="31"/>
  <c r="G8" i="31"/>
  <c r="A152" i="10"/>
  <c r="K145" i="10"/>
  <c r="J145" i="10"/>
  <c r="I145" i="10"/>
  <c r="H145" i="10"/>
  <c r="G145" i="10"/>
  <c r="F145" i="10"/>
  <c r="E145" i="10"/>
  <c r="C80" i="30"/>
  <c r="J79" i="30"/>
  <c r="J78" i="30"/>
  <c r="J77" i="30"/>
  <c r="C75" i="30"/>
  <c r="I74" i="30"/>
  <c r="J74" i="30" s="1"/>
  <c r="E73" i="30"/>
  <c r="E72" i="30"/>
  <c r="I71" i="30"/>
  <c r="J71" i="30" s="1"/>
  <c r="J70" i="30"/>
  <c r="C67" i="30"/>
  <c r="J66" i="30"/>
  <c r="I66" i="30"/>
  <c r="H66" i="30"/>
  <c r="G66" i="30"/>
  <c r="N64" i="30"/>
  <c r="J64" i="30"/>
  <c r="N63" i="30"/>
  <c r="H63" i="30"/>
  <c r="G63" i="30" s="1"/>
  <c r="I63" i="30" s="1"/>
  <c r="N62" i="30"/>
  <c r="J62" i="30"/>
  <c r="C60" i="30"/>
  <c r="N59" i="30"/>
  <c r="J59" i="30"/>
  <c r="N58" i="30"/>
  <c r="J58" i="30"/>
  <c r="C56" i="30"/>
  <c r="N55" i="30"/>
  <c r="J55" i="30"/>
  <c r="J54" i="30"/>
  <c r="F51" i="30"/>
  <c r="F52" i="30" s="1"/>
  <c r="F56" i="30" s="1"/>
  <c r="F60" i="30" s="1"/>
  <c r="E51" i="30"/>
  <c r="C51" i="30"/>
  <c r="M50" i="30"/>
  <c r="L50" i="30"/>
  <c r="K50" i="30"/>
  <c r="J50" i="30"/>
  <c r="I50" i="30"/>
  <c r="H50" i="30"/>
  <c r="G50" i="30"/>
  <c r="C40" i="30"/>
  <c r="M39" i="30"/>
  <c r="L39" i="30"/>
  <c r="H39" i="30"/>
  <c r="F39" i="30"/>
  <c r="C39" i="30"/>
  <c r="C38" i="30"/>
  <c r="M35" i="30"/>
  <c r="L35" i="30"/>
  <c r="J35" i="30"/>
  <c r="I35" i="30"/>
  <c r="H35" i="30"/>
  <c r="M34" i="30"/>
  <c r="L34" i="30"/>
  <c r="J34" i="30"/>
  <c r="I34" i="30"/>
  <c r="H34" i="30"/>
  <c r="M33" i="30"/>
  <c r="L33" i="30"/>
  <c r="J33" i="30"/>
  <c r="I33" i="30"/>
  <c r="H33" i="30"/>
  <c r="M32" i="30"/>
  <c r="L32" i="30"/>
  <c r="J32" i="30"/>
  <c r="I32" i="30"/>
  <c r="H32" i="30"/>
  <c r="M30" i="30"/>
  <c r="L30" i="30"/>
  <c r="J30" i="30"/>
  <c r="I30" i="30"/>
  <c r="H30" i="30"/>
  <c r="M29" i="30"/>
  <c r="L29" i="30"/>
  <c r="J29" i="30"/>
  <c r="I29" i="30"/>
  <c r="H29" i="30"/>
  <c r="M28" i="30"/>
  <c r="L28" i="30"/>
  <c r="J28" i="30"/>
  <c r="I28" i="30"/>
  <c r="H28" i="30"/>
  <c r="M27" i="30"/>
  <c r="L27" i="30"/>
  <c r="J27" i="30"/>
  <c r="I27" i="30"/>
  <c r="H27" i="30"/>
  <c r="M26" i="30"/>
  <c r="L26" i="30"/>
  <c r="J26" i="30"/>
  <c r="I26" i="30"/>
  <c r="H26" i="30"/>
  <c r="M25" i="30"/>
  <c r="N25" i="30" s="1"/>
  <c r="L25" i="30"/>
  <c r="J25" i="30"/>
  <c r="I25" i="30"/>
  <c r="H25" i="30"/>
  <c r="M24" i="30"/>
  <c r="L24" i="30"/>
  <c r="J24" i="30"/>
  <c r="I24" i="30"/>
  <c r="H24" i="30"/>
  <c r="M23" i="30"/>
  <c r="N23" i="30" s="1"/>
  <c r="L23" i="30"/>
  <c r="J23" i="30"/>
  <c r="I23" i="30"/>
  <c r="H23" i="30"/>
  <c r="M22" i="30"/>
  <c r="L22" i="30"/>
  <c r="J22" i="30"/>
  <c r="I22" i="30"/>
  <c r="H22" i="30"/>
  <c r="M21" i="30"/>
  <c r="N21" i="30" s="1"/>
  <c r="L21" i="30"/>
  <c r="J21" i="30"/>
  <c r="I21" i="30"/>
  <c r="H21" i="30"/>
  <c r="M20" i="30"/>
  <c r="L20" i="30"/>
  <c r="J20" i="30"/>
  <c r="I20" i="30"/>
  <c r="H20" i="30"/>
  <c r="C15" i="30"/>
  <c r="AC11" i="30"/>
  <c r="M8" i="30"/>
  <c r="L8" i="30"/>
  <c r="K8" i="30"/>
  <c r="J8" i="30"/>
  <c r="I8" i="30"/>
  <c r="H8" i="30"/>
  <c r="G8" i="30"/>
  <c r="A141" i="10"/>
  <c r="K134" i="10"/>
  <c r="J134" i="10"/>
  <c r="I134" i="10"/>
  <c r="H134" i="10"/>
  <c r="G134" i="10"/>
  <c r="F134" i="10"/>
  <c r="E134" i="10"/>
  <c r="C80" i="29"/>
  <c r="J79" i="29"/>
  <c r="J78" i="29"/>
  <c r="J77" i="29"/>
  <c r="C75" i="29"/>
  <c r="I74" i="29"/>
  <c r="J74" i="29" s="1"/>
  <c r="E73" i="29"/>
  <c r="E72" i="29"/>
  <c r="I71" i="29"/>
  <c r="J71" i="29" s="1"/>
  <c r="J70" i="29"/>
  <c r="C67" i="29"/>
  <c r="J66" i="29"/>
  <c r="I66" i="29"/>
  <c r="H66" i="29"/>
  <c r="G66" i="29"/>
  <c r="N64" i="29"/>
  <c r="J64" i="29"/>
  <c r="N63" i="29"/>
  <c r="H63" i="29"/>
  <c r="G63" i="29" s="1"/>
  <c r="I63" i="29" s="1"/>
  <c r="N62" i="29"/>
  <c r="J62" i="29"/>
  <c r="C60" i="29"/>
  <c r="N59" i="29"/>
  <c r="J59" i="29"/>
  <c r="N58" i="29"/>
  <c r="J58" i="29"/>
  <c r="C56" i="29"/>
  <c r="N55" i="29"/>
  <c r="J55" i="29"/>
  <c r="J54" i="29"/>
  <c r="F51" i="29"/>
  <c r="F52" i="29" s="1"/>
  <c r="F56" i="29" s="1"/>
  <c r="F60" i="29" s="1"/>
  <c r="E51" i="29"/>
  <c r="C51" i="29"/>
  <c r="M50" i="29"/>
  <c r="L50" i="29"/>
  <c r="K50" i="29"/>
  <c r="J50" i="29"/>
  <c r="I50" i="29"/>
  <c r="H50" i="29"/>
  <c r="G50" i="29"/>
  <c r="C40" i="29"/>
  <c r="M39" i="29"/>
  <c r="L39" i="29"/>
  <c r="H39" i="29"/>
  <c r="F39" i="29"/>
  <c r="C39" i="29"/>
  <c r="C38" i="29"/>
  <c r="M35" i="29"/>
  <c r="L35" i="29"/>
  <c r="J35" i="29"/>
  <c r="I35" i="29"/>
  <c r="H35" i="29"/>
  <c r="M34" i="29"/>
  <c r="L34" i="29"/>
  <c r="J34" i="29"/>
  <c r="I34" i="29"/>
  <c r="H34" i="29"/>
  <c r="M33" i="29"/>
  <c r="L33" i="29"/>
  <c r="J33" i="29"/>
  <c r="I33" i="29"/>
  <c r="H33" i="29"/>
  <c r="M32" i="29"/>
  <c r="L32" i="29"/>
  <c r="J32" i="29"/>
  <c r="I32" i="29"/>
  <c r="H32" i="29"/>
  <c r="M30" i="29"/>
  <c r="L30" i="29"/>
  <c r="J30" i="29"/>
  <c r="I30" i="29"/>
  <c r="H30" i="29"/>
  <c r="M29" i="29"/>
  <c r="L29" i="29"/>
  <c r="J29" i="29"/>
  <c r="I29" i="29"/>
  <c r="H29" i="29"/>
  <c r="M28" i="29"/>
  <c r="L28" i="29"/>
  <c r="J28" i="29"/>
  <c r="I28" i="29"/>
  <c r="H28" i="29"/>
  <c r="M27" i="29"/>
  <c r="L27" i="29"/>
  <c r="J27" i="29"/>
  <c r="I27" i="29"/>
  <c r="H27" i="29"/>
  <c r="M26" i="29"/>
  <c r="L26" i="29"/>
  <c r="J26" i="29"/>
  <c r="I26" i="29"/>
  <c r="H26" i="29"/>
  <c r="M25" i="29"/>
  <c r="L25" i="29"/>
  <c r="J25" i="29"/>
  <c r="I25" i="29"/>
  <c r="H25" i="29"/>
  <c r="M24" i="29"/>
  <c r="L24" i="29"/>
  <c r="J24" i="29"/>
  <c r="I24" i="29"/>
  <c r="H24" i="29"/>
  <c r="M23" i="29"/>
  <c r="L23" i="29"/>
  <c r="J23" i="29"/>
  <c r="I23" i="29"/>
  <c r="H23" i="29"/>
  <c r="M22" i="29"/>
  <c r="L22" i="29"/>
  <c r="J22" i="29"/>
  <c r="I22" i="29"/>
  <c r="H22" i="29"/>
  <c r="M21" i="29"/>
  <c r="N21" i="29" s="1"/>
  <c r="L21" i="29"/>
  <c r="J21" i="29"/>
  <c r="I21" i="29"/>
  <c r="H21" i="29"/>
  <c r="M20" i="29"/>
  <c r="L20" i="29"/>
  <c r="J20" i="29"/>
  <c r="I20" i="29"/>
  <c r="H20" i="29"/>
  <c r="C15" i="29"/>
  <c r="AC11" i="29"/>
  <c r="M8" i="29"/>
  <c r="L8" i="29"/>
  <c r="K8" i="29"/>
  <c r="J8" i="29"/>
  <c r="I8" i="29"/>
  <c r="H8" i="29"/>
  <c r="G8" i="29"/>
  <c r="CM251" i="5"/>
  <c r="CM252" i="5" s="1"/>
  <c r="I11" i="29" s="1"/>
  <c r="I39" i="29" s="1"/>
  <c r="AB39" i="29" s="1"/>
  <c r="CL251" i="5"/>
  <c r="CL252" i="5" s="1"/>
  <c r="CK251" i="5"/>
  <c r="CK252" i="5" s="1"/>
  <c r="M12" i="29" s="1"/>
  <c r="CJ251" i="5"/>
  <c r="CJ252" i="5" s="1"/>
  <c r="CI251" i="5"/>
  <c r="CI252" i="5" s="1"/>
  <c r="CH251" i="5"/>
  <c r="CH252" i="5" s="1"/>
  <c r="CG251" i="5"/>
  <c r="CG252" i="5" s="1"/>
  <c r="CF251" i="5"/>
  <c r="CF252" i="5" s="1"/>
  <c r="CE251" i="5"/>
  <c r="CE252" i="5" s="1"/>
  <c r="CD251" i="5"/>
  <c r="CD252" i="5" s="1"/>
  <c r="CC251" i="5"/>
  <c r="CC252" i="5" s="1"/>
  <c r="CB251" i="5"/>
  <c r="CB252" i="5" s="1"/>
  <c r="CA251" i="5"/>
  <c r="CA252" i="5" s="1"/>
  <c r="J138" i="10" s="1"/>
  <c r="BZ251" i="5"/>
  <c r="BZ252" i="5" s="1"/>
  <c r="J136" i="10" s="1"/>
  <c r="BY251" i="5"/>
  <c r="BY252" i="5" s="1"/>
  <c r="BX251" i="5"/>
  <c r="BX252" i="5" s="1"/>
  <c r="BW251" i="5"/>
  <c r="BW252" i="5" s="1"/>
  <c r="BV251" i="5"/>
  <c r="BV252" i="5" s="1"/>
  <c r="BU251" i="5"/>
  <c r="BU252" i="5" s="1"/>
  <c r="BT251" i="5"/>
  <c r="BT252" i="5" s="1"/>
  <c r="BS251" i="5"/>
  <c r="BS252" i="5" s="1"/>
  <c r="BR251" i="5"/>
  <c r="BR252" i="5" s="1"/>
  <c r="BQ251" i="5"/>
  <c r="BQ252" i="5" s="1"/>
  <c r="BP251" i="5"/>
  <c r="BP252" i="5" s="1"/>
  <c r="BO251" i="5"/>
  <c r="BO252" i="5" s="1"/>
  <c r="BN251" i="5"/>
  <c r="BN252" i="5" s="1"/>
  <c r="BM251" i="5"/>
  <c r="BM252" i="5" s="1"/>
  <c r="G138" i="10" s="1"/>
  <c r="BL251" i="5"/>
  <c r="BL252" i="5" s="1"/>
  <c r="BK251" i="5"/>
  <c r="BK252" i="5" s="1"/>
  <c r="BJ251" i="5"/>
  <c r="BJ252" i="5" s="1"/>
  <c r="BI251" i="5"/>
  <c r="BI252" i="5" s="1"/>
  <c r="BH251" i="5"/>
  <c r="BH252" i="5" s="1"/>
  <c r="BG251" i="5"/>
  <c r="BG252" i="5" s="1"/>
  <c r="BF251" i="5"/>
  <c r="BF252" i="5" s="1"/>
  <c r="BE251" i="5"/>
  <c r="BE252" i="5" s="1"/>
  <c r="BD251" i="5"/>
  <c r="BD252" i="5" s="1"/>
  <c r="BC251" i="5"/>
  <c r="BC252" i="5" s="1"/>
  <c r="H12" i="29" s="1"/>
  <c r="H40" i="29" s="1"/>
  <c r="BB251" i="5"/>
  <c r="BB252" i="5" s="1"/>
  <c r="H10" i="29" s="1"/>
  <c r="BA251" i="5"/>
  <c r="BA252" i="5" s="1"/>
  <c r="AZ251" i="5"/>
  <c r="AZ252" i="5" s="1"/>
  <c r="AY251" i="5"/>
  <c r="AY252" i="5" s="1"/>
  <c r="AX251" i="5"/>
  <c r="AX252" i="5" s="1"/>
  <c r="AW251" i="5"/>
  <c r="AW252" i="5" s="1"/>
  <c r="AV251" i="5"/>
  <c r="AV252" i="5" s="1"/>
  <c r="AU251" i="5"/>
  <c r="AU252" i="5" s="1"/>
  <c r="AT251" i="5"/>
  <c r="AT252" i="5" s="1"/>
  <c r="AS251" i="5"/>
  <c r="AS252" i="5" s="1"/>
  <c r="A130" i="10"/>
  <c r="K123" i="10"/>
  <c r="J123" i="10"/>
  <c r="I123" i="10"/>
  <c r="H123" i="10"/>
  <c r="G123" i="10"/>
  <c r="F123" i="10"/>
  <c r="E123" i="10"/>
  <c r="C80" i="28"/>
  <c r="J79" i="28"/>
  <c r="J78" i="28"/>
  <c r="J77" i="28"/>
  <c r="C75" i="28"/>
  <c r="I74" i="28"/>
  <c r="J74" i="28" s="1"/>
  <c r="E73" i="28"/>
  <c r="E72" i="28"/>
  <c r="I71" i="28"/>
  <c r="J71" i="28" s="1"/>
  <c r="J70" i="28"/>
  <c r="C67" i="28"/>
  <c r="J66" i="28"/>
  <c r="I66" i="28"/>
  <c r="H66" i="28"/>
  <c r="G66" i="28"/>
  <c r="N64" i="28"/>
  <c r="J64" i="28"/>
  <c r="N63" i="28"/>
  <c r="H63" i="28"/>
  <c r="G63" i="28" s="1"/>
  <c r="I63" i="28" s="1"/>
  <c r="N62" i="28"/>
  <c r="J62" i="28"/>
  <c r="C60" i="28"/>
  <c r="N59" i="28"/>
  <c r="J59" i="28"/>
  <c r="N58" i="28"/>
  <c r="J58" i="28"/>
  <c r="C56" i="28"/>
  <c r="N55" i="28"/>
  <c r="J55" i="28"/>
  <c r="J54" i="28"/>
  <c r="F51" i="28"/>
  <c r="F52" i="28" s="1"/>
  <c r="F56" i="28" s="1"/>
  <c r="F60" i="28" s="1"/>
  <c r="E51" i="28"/>
  <c r="C51" i="28"/>
  <c r="M50" i="28"/>
  <c r="L50" i="28"/>
  <c r="K50" i="28"/>
  <c r="J50" i="28"/>
  <c r="I50" i="28"/>
  <c r="H50" i="28"/>
  <c r="G50" i="28"/>
  <c r="C40" i="28"/>
  <c r="M39" i="28"/>
  <c r="L39" i="28"/>
  <c r="H39" i="28"/>
  <c r="F39" i="28"/>
  <c r="C39" i="28"/>
  <c r="C38" i="28"/>
  <c r="M35" i="28"/>
  <c r="L35" i="28"/>
  <c r="J35" i="28"/>
  <c r="I35" i="28"/>
  <c r="H35" i="28"/>
  <c r="M34" i="28"/>
  <c r="L34" i="28"/>
  <c r="J34" i="28"/>
  <c r="I34" i="28"/>
  <c r="H34" i="28"/>
  <c r="M33" i="28"/>
  <c r="L33" i="28"/>
  <c r="J33" i="28"/>
  <c r="I33" i="28"/>
  <c r="H33" i="28"/>
  <c r="M32" i="28"/>
  <c r="L32" i="28"/>
  <c r="J32" i="28"/>
  <c r="I32" i="28"/>
  <c r="H32" i="28"/>
  <c r="M30" i="28"/>
  <c r="L30" i="28"/>
  <c r="J30" i="28"/>
  <c r="I30" i="28"/>
  <c r="H30" i="28"/>
  <c r="M29" i="28"/>
  <c r="L29" i="28"/>
  <c r="J29" i="28"/>
  <c r="I29" i="28"/>
  <c r="H29" i="28"/>
  <c r="M28" i="28"/>
  <c r="L28" i="28"/>
  <c r="J28" i="28"/>
  <c r="I28" i="28"/>
  <c r="H28" i="28"/>
  <c r="M27" i="28"/>
  <c r="L27" i="28"/>
  <c r="J27" i="28"/>
  <c r="I27" i="28"/>
  <c r="H27" i="28"/>
  <c r="M26" i="28"/>
  <c r="L26" i="28"/>
  <c r="J26" i="28"/>
  <c r="I26" i="28"/>
  <c r="H26" i="28"/>
  <c r="M25" i="28"/>
  <c r="L25" i="28"/>
  <c r="J25" i="28"/>
  <c r="I25" i="28"/>
  <c r="H25" i="28"/>
  <c r="M24" i="28"/>
  <c r="L24" i="28"/>
  <c r="J24" i="28"/>
  <c r="I24" i="28"/>
  <c r="H24" i="28"/>
  <c r="M23" i="28"/>
  <c r="L23" i="28"/>
  <c r="J23" i="28"/>
  <c r="I23" i="28"/>
  <c r="H23" i="28"/>
  <c r="M22" i="28"/>
  <c r="L22" i="28"/>
  <c r="J22" i="28"/>
  <c r="I22" i="28"/>
  <c r="H22" i="28"/>
  <c r="M21" i="28"/>
  <c r="L21" i="28"/>
  <c r="J21" i="28"/>
  <c r="I21" i="28"/>
  <c r="H21" i="28"/>
  <c r="M20" i="28"/>
  <c r="L20" i="28"/>
  <c r="J20" i="28"/>
  <c r="I20" i="28"/>
  <c r="H20" i="28"/>
  <c r="C15" i="28"/>
  <c r="AC11" i="28"/>
  <c r="M8" i="28"/>
  <c r="L8" i="28"/>
  <c r="K8" i="28"/>
  <c r="J8" i="28"/>
  <c r="I8" i="28"/>
  <c r="H8" i="28"/>
  <c r="G8" i="28"/>
  <c r="CM249" i="5"/>
  <c r="CM250" i="5" s="1"/>
  <c r="CL249" i="5"/>
  <c r="CL250" i="5" s="1"/>
  <c r="CK249" i="5"/>
  <c r="CK250" i="5" s="1"/>
  <c r="K127" i="10" s="1"/>
  <c r="CJ249" i="5"/>
  <c r="CJ250" i="5" s="1"/>
  <c r="CI249" i="5"/>
  <c r="CI250" i="5" s="1"/>
  <c r="CH249" i="5"/>
  <c r="CH250" i="5" s="1"/>
  <c r="CG249" i="5"/>
  <c r="CG250" i="5" s="1"/>
  <c r="CF249" i="5"/>
  <c r="CF250" i="5" s="1"/>
  <c r="CE249" i="5"/>
  <c r="CE250" i="5" s="1"/>
  <c r="CD249" i="5"/>
  <c r="CD250" i="5" s="1"/>
  <c r="CC249" i="5"/>
  <c r="CC250" i="5" s="1"/>
  <c r="CB249" i="5"/>
  <c r="CB250" i="5" s="1"/>
  <c r="CA249" i="5"/>
  <c r="CA250" i="5" s="1"/>
  <c r="J127" i="10" s="1"/>
  <c r="BZ249" i="5"/>
  <c r="BZ250" i="5" s="1"/>
  <c r="L10" i="28" s="1"/>
  <c r="BY249" i="5"/>
  <c r="BY250" i="5" s="1"/>
  <c r="BX249" i="5"/>
  <c r="BX250" i="5" s="1"/>
  <c r="BW249" i="5"/>
  <c r="BW250" i="5" s="1"/>
  <c r="BV249" i="5"/>
  <c r="BV250" i="5" s="1"/>
  <c r="BU249" i="5"/>
  <c r="BU250" i="5" s="1"/>
  <c r="BT249" i="5"/>
  <c r="BT250" i="5" s="1"/>
  <c r="BS249" i="5"/>
  <c r="BS250" i="5" s="1"/>
  <c r="BR249" i="5"/>
  <c r="BR250" i="5" s="1"/>
  <c r="BQ249" i="5"/>
  <c r="BQ250" i="5" s="1"/>
  <c r="BP249" i="5"/>
  <c r="BP250" i="5" s="1"/>
  <c r="BO249" i="5"/>
  <c r="BO250" i="5" s="1"/>
  <c r="BN249" i="5"/>
  <c r="BN250" i="5" s="1"/>
  <c r="BM249" i="5"/>
  <c r="BM250" i="5" s="1"/>
  <c r="G127" i="10" s="1"/>
  <c r="BL249" i="5"/>
  <c r="BL250" i="5" s="1"/>
  <c r="BK249" i="5"/>
  <c r="BK250" i="5" s="1"/>
  <c r="BJ249" i="5"/>
  <c r="BJ250" i="5" s="1"/>
  <c r="BI249" i="5"/>
  <c r="BI250" i="5" s="1"/>
  <c r="BH249" i="5"/>
  <c r="BH250" i="5" s="1"/>
  <c r="BG249" i="5"/>
  <c r="BG250" i="5" s="1"/>
  <c r="BF249" i="5"/>
  <c r="BF250" i="5" s="1"/>
  <c r="BE249" i="5"/>
  <c r="BE250" i="5" s="1"/>
  <c r="BD249" i="5"/>
  <c r="BD250" i="5" s="1"/>
  <c r="BC249" i="5"/>
  <c r="BC250" i="5" s="1"/>
  <c r="F127" i="10" s="1"/>
  <c r="BB249" i="5"/>
  <c r="BB250" i="5" s="1"/>
  <c r="F125" i="10" s="1"/>
  <c r="BA249" i="5"/>
  <c r="BA250" i="5" s="1"/>
  <c r="AZ249" i="5"/>
  <c r="AZ250" i="5" s="1"/>
  <c r="AY249" i="5"/>
  <c r="AY250" i="5" s="1"/>
  <c r="AX249" i="5"/>
  <c r="AX250" i="5" s="1"/>
  <c r="AW249" i="5"/>
  <c r="AW250" i="5" s="1"/>
  <c r="AV249" i="5"/>
  <c r="AV250" i="5" s="1"/>
  <c r="AU249" i="5"/>
  <c r="AU250" i="5" s="1"/>
  <c r="AT249" i="5"/>
  <c r="AT250" i="5" s="1"/>
  <c r="D127" i="10" s="1"/>
  <c r="AS249" i="5"/>
  <c r="AS250" i="5" s="1"/>
  <c r="A119" i="10"/>
  <c r="K112" i="10"/>
  <c r="J112" i="10"/>
  <c r="I112" i="10"/>
  <c r="H112" i="10"/>
  <c r="G112" i="10"/>
  <c r="F112" i="10"/>
  <c r="E112" i="10"/>
  <c r="C80" i="27"/>
  <c r="J79" i="27"/>
  <c r="J78" i="27"/>
  <c r="J77" i="27"/>
  <c r="C75" i="27"/>
  <c r="I74" i="27"/>
  <c r="J74" i="27" s="1"/>
  <c r="E73" i="27"/>
  <c r="E72" i="27"/>
  <c r="I71" i="27"/>
  <c r="J71" i="27" s="1"/>
  <c r="J70" i="27"/>
  <c r="C67" i="27"/>
  <c r="J66" i="27"/>
  <c r="I66" i="27"/>
  <c r="H66" i="27"/>
  <c r="G66" i="27"/>
  <c r="N64" i="27"/>
  <c r="J64" i="27"/>
  <c r="N63" i="27"/>
  <c r="H63" i="27"/>
  <c r="G63" i="27" s="1"/>
  <c r="I63" i="27" s="1"/>
  <c r="N62" i="27"/>
  <c r="J62" i="27"/>
  <c r="C60" i="27"/>
  <c r="N59" i="27"/>
  <c r="J59" i="27"/>
  <c r="N58" i="27"/>
  <c r="J58" i="27"/>
  <c r="C56" i="27"/>
  <c r="N55" i="27"/>
  <c r="J55" i="27"/>
  <c r="J54" i="27"/>
  <c r="F51" i="27"/>
  <c r="F52" i="27" s="1"/>
  <c r="F56" i="27" s="1"/>
  <c r="F60" i="27" s="1"/>
  <c r="E51" i="27"/>
  <c r="C51" i="27"/>
  <c r="M50" i="27"/>
  <c r="L50" i="27"/>
  <c r="K50" i="27"/>
  <c r="J50" i="27"/>
  <c r="I50" i="27"/>
  <c r="H50" i="27"/>
  <c r="G50" i="27"/>
  <c r="C40" i="27"/>
  <c r="M39" i="27"/>
  <c r="L39" i="27"/>
  <c r="H39" i="27"/>
  <c r="F39" i="27"/>
  <c r="C39" i="27"/>
  <c r="C38" i="27"/>
  <c r="M35" i="27"/>
  <c r="L35" i="27"/>
  <c r="J35" i="27"/>
  <c r="I35" i="27"/>
  <c r="H35" i="27"/>
  <c r="M34" i="27"/>
  <c r="L34" i="27"/>
  <c r="J34" i="27"/>
  <c r="I34" i="27"/>
  <c r="H34" i="27"/>
  <c r="M33" i="27"/>
  <c r="L33" i="27"/>
  <c r="J33" i="27"/>
  <c r="I33" i="27"/>
  <c r="H33" i="27"/>
  <c r="M32" i="27"/>
  <c r="L32" i="27"/>
  <c r="J32" i="27"/>
  <c r="I32" i="27"/>
  <c r="H32" i="27"/>
  <c r="M30" i="27"/>
  <c r="L30" i="27"/>
  <c r="J30" i="27"/>
  <c r="I30" i="27"/>
  <c r="H30" i="27"/>
  <c r="M29" i="27"/>
  <c r="L29" i="27"/>
  <c r="J29" i="27"/>
  <c r="I29" i="27"/>
  <c r="H29" i="27"/>
  <c r="M28" i="27"/>
  <c r="L28" i="27"/>
  <c r="J28" i="27"/>
  <c r="I28" i="27"/>
  <c r="H28" i="27"/>
  <c r="M27" i="27"/>
  <c r="L27" i="27"/>
  <c r="J27" i="27"/>
  <c r="I27" i="27"/>
  <c r="H27" i="27"/>
  <c r="M26" i="27"/>
  <c r="L26" i="27"/>
  <c r="J26" i="27"/>
  <c r="I26" i="27"/>
  <c r="H26" i="27"/>
  <c r="M25" i="27"/>
  <c r="L25" i="27"/>
  <c r="J25" i="27"/>
  <c r="I25" i="27"/>
  <c r="H25" i="27"/>
  <c r="M24" i="27"/>
  <c r="L24" i="27"/>
  <c r="J24" i="27"/>
  <c r="I24" i="27"/>
  <c r="H24" i="27"/>
  <c r="M23" i="27"/>
  <c r="L23" i="27"/>
  <c r="J23" i="27"/>
  <c r="I23" i="27"/>
  <c r="H23" i="27"/>
  <c r="M22" i="27"/>
  <c r="L22" i="27"/>
  <c r="J22" i="27"/>
  <c r="I22" i="27"/>
  <c r="H22" i="27"/>
  <c r="M21" i="27"/>
  <c r="L21" i="27"/>
  <c r="J21" i="27"/>
  <c r="I21" i="27"/>
  <c r="H21" i="27"/>
  <c r="M20" i="27"/>
  <c r="L20" i="27"/>
  <c r="J20" i="27"/>
  <c r="I20" i="27"/>
  <c r="H20" i="27"/>
  <c r="C15" i="27"/>
  <c r="AC11" i="27"/>
  <c r="M8" i="27"/>
  <c r="L8" i="27"/>
  <c r="K8" i="27"/>
  <c r="J8" i="27"/>
  <c r="I8" i="27"/>
  <c r="H8" i="27"/>
  <c r="G8" i="27"/>
  <c r="A108" i="10"/>
  <c r="K101" i="10"/>
  <c r="J101" i="10"/>
  <c r="I101" i="10"/>
  <c r="H101" i="10"/>
  <c r="G101" i="10"/>
  <c r="F101" i="10"/>
  <c r="E101" i="10"/>
  <c r="C80" i="26"/>
  <c r="J79" i="26"/>
  <c r="J78" i="26"/>
  <c r="J77" i="26"/>
  <c r="C75" i="26"/>
  <c r="I74" i="26"/>
  <c r="J74" i="26" s="1"/>
  <c r="E73" i="26"/>
  <c r="E72" i="26"/>
  <c r="I71" i="26"/>
  <c r="J71" i="26" s="1"/>
  <c r="J70" i="26"/>
  <c r="C67" i="26"/>
  <c r="J66" i="26"/>
  <c r="I66" i="26"/>
  <c r="H66" i="26"/>
  <c r="G66" i="26"/>
  <c r="N64" i="26"/>
  <c r="J64" i="26"/>
  <c r="N63" i="26"/>
  <c r="H63" i="26"/>
  <c r="G63" i="26" s="1"/>
  <c r="I63" i="26" s="1"/>
  <c r="N62" i="26"/>
  <c r="J62" i="26"/>
  <c r="C60" i="26"/>
  <c r="N59" i="26"/>
  <c r="J59" i="26"/>
  <c r="N58" i="26"/>
  <c r="J58" i="26"/>
  <c r="C56" i="26"/>
  <c r="N55" i="26"/>
  <c r="J55" i="26"/>
  <c r="J54" i="26"/>
  <c r="F51" i="26"/>
  <c r="E51" i="26"/>
  <c r="C51" i="26"/>
  <c r="M50" i="26"/>
  <c r="L50" i="26"/>
  <c r="K50" i="26"/>
  <c r="J50" i="26"/>
  <c r="I50" i="26"/>
  <c r="H50" i="26"/>
  <c r="G50" i="26"/>
  <c r="C40" i="26"/>
  <c r="M39" i="26"/>
  <c r="L39" i="26"/>
  <c r="H39" i="26"/>
  <c r="F39" i="26"/>
  <c r="C39" i="26"/>
  <c r="C38" i="26"/>
  <c r="M35" i="26"/>
  <c r="L35" i="26"/>
  <c r="J35" i="26"/>
  <c r="I35" i="26"/>
  <c r="H35" i="26"/>
  <c r="M34" i="26"/>
  <c r="L34" i="26"/>
  <c r="J34" i="26"/>
  <c r="I34" i="26"/>
  <c r="H34" i="26"/>
  <c r="M33" i="26"/>
  <c r="L33" i="26"/>
  <c r="J33" i="26"/>
  <c r="I33" i="26"/>
  <c r="H33" i="26"/>
  <c r="M32" i="26"/>
  <c r="L32" i="26"/>
  <c r="J32" i="26"/>
  <c r="I32" i="26"/>
  <c r="H32" i="26"/>
  <c r="M30" i="26"/>
  <c r="L30" i="26"/>
  <c r="J30" i="26"/>
  <c r="I30" i="26"/>
  <c r="H30" i="26"/>
  <c r="M29" i="26"/>
  <c r="L29" i="26"/>
  <c r="J29" i="26"/>
  <c r="I29" i="26"/>
  <c r="H29" i="26"/>
  <c r="M28" i="26"/>
  <c r="L28" i="26"/>
  <c r="J28" i="26"/>
  <c r="I28" i="26"/>
  <c r="H28" i="26"/>
  <c r="M27" i="26"/>
  <c r="L27" i="26"/>
  <c r="J27" i="26"/>
  <c r="I27" i="26"/>
  <c r="H27" i="26"/>
  <c r="M26" i="26"/>
  <c r="L26" i="26"/>
  <c r="J26" i="26"/>
  <c r="I26" i="26"/>
  <c r="H26" i="26"/>
  <c r="M25" i="26"/>
  <c r="L25" i="26"/>
  <c r="J25" i="26"/>
  <c r="I25" i="26"/>
  <c r="H25" i="26"/>
  <c r="M24" i="26"/>
  <c r="L24" i="26"/>
  <c r="J24" i="26"/>
  <c r="I24" i="26"/>
  <c r="H24" i="26"/>
  <c r="M23" i="26"/>
  <c r="L23" i="26"/>
  <c r="J23" i="26"/>
  <c r="I23" i="26"/>
  <c r="H23" i="26"/>
  <c r="M22" i="26"/>
  <c r="L22" i="26"/>
  <c r="J22" i="26"/>
  <c r="I22" i="26"/>
  <c r="H22" i="26"/>
  <c r="M21" i="26"/>
  <c r="L21" i="26"/>
  <c r="J21" i="26"/>
  <c r="I21" i="26"/>
  <c r="H21" i="26"/>
  <c r="M20" i="26"/>
  <c r="L20" i="26"/>
  <c r="J20" i="26"/>
  <c r="I20" i="26"/>
  <c r="H20" i="26"/>
  <c r="C15" i="26"/>
  <c r="AC11" i="26"/>
  <c r="M8" i="26"/>
  <c r="L8" i="26"/>
  <c r="K8" i="26"/>
  <c r="J8" i="26"/>
  <c r="I8" i="26"/>
  <c r="H8" i="26"/>
  <c r="G8" i="26"/>
  <c r="CM244" i="5"/>
  <c r="CL244" i="5"/>
  <c r="CK244" i="5"/>
  <c r="CJ244" i="5"/>
  <c r="CI244" i="5"/>
  <c r="CH244" i="5"/>
  <c r="CG244" i="5"/>
  <c r="CF244" i="5"/>
  <c r="CE244" i="5"/>
  <c r="CD244" i="5"/>
  <c r="CC244" i="5"/>
  <c r="CB244" i="5"/>
  <c r="CA244" i="5"/>
  <c r="BZ244" i="5"/>
  <c r="BY244" i="5"/>
  <c r="BX244" i="5"/>
  <c r="BW244" i="5"/>
  <c r="BV244" i="5"/>
  <c r="BU244" i="5"/>
  <c r="BT244" i="5"/>
  <c r="BS244" i="5"/>
  <c r="BR244" i="5"/>
  <c r="BQ244" i="5"/>
  <c r="BP244" i="5"/>
  <c r="BO244" i="5"/>
  <c r="BN244" i="5"/>
  <c r="BM244" i="5"/>
  <c r="BL244" i="5"/>
  <c r="BK244" i="5"/>
  <c r="BJ244" i="5"/>
  <c r="BI244" i="5"/>
  <c r="BH244" i="5"/>
  <c r="BG244" i="5"/>
  <c r="BF244" i="5"/>
  <c r="BE244" i="5"/>
  <c r="BD244" i="5"/>
  <c r="BC244" i="5"/>
  <c r="BB244" i="5"/>
  <c r="BA244" i="5"/>
  <c r="AZ244" i="5"/>
  <c r="AY244" i="5"/>
  <c r="AX244" i="5"/>
  <c r="AW244" i="5"/>
  <c r="AV244" i="5"/>
  <c r="AU244" i="5"/>
  <c r="AT244" i="5"/>
  <c r="AS244" i="5"/>
  <c r="A97" i="10"/>
  <c r="K90" i="10"/>
  <c r="J90" i="10"/>
  <c r="I90" i="10"/>
  <c r="H90" i="10"/>
  <c r="G90" i="10"/>
  <c r="F90" i="10"/>
  <c r="E90" i="10"/>
  <c r="C80" i="25"/>
  <c r="J79" i="25"/>
  <c r="J78" i="25"/>
  <c r="J77" i="25"/>
  <c r="C75" i="25"/>
  <c r="I74" i="25"/>
  <c r="J74" i="25" s="1"/>
  <c r="E73" i="25"/>
  <c r="E72" i="25"/>
  <c r="I71" i="25"/>
  <c r="J71" i="25" s="1"/>
  <c r="J70" i="25"/>
  <c r="C67" i="25"/>
  <c r="J66" i="25"/>
  <c r="I66" i="25"/>
  <c r="H66" i="25"/>
  <c r="G66" i="25"/>
  <c r="N64" i="25"/>
  <c r="J64" i="25"/>
  <c r="N63" i="25"/>
  <c r="H63" i="25"/>
  <c r="G63" i="25" s="1"/>
  <c r="I63" i="25" s="1"/>
  <c r="N62" i="25"/>
  <c r="J62" i="25"/>
  <c r="C60" i="25"/>
  <c r="N59" i="25"/>
  <c r="J59" i="25"/>
  <c r="N58" i="25"/>
  <c r="J58" i="25"/>
  <c r="C56" i="25"/>
  <c r="N55" i="25"/>
  <c r="J55" i="25"/>
  <c r="J54" i="25"/>
  <c r="F51" i="25"/>
  <c r="E51" i="25"/>
  <c r="C51" i="25"/>
  <c r="M50" i="25"/>
  <c r="L50" i="25"/>
  <c r="K50" i="25"/>
  <c r="J50" i="25"/>
  <c r="I50" i="25"/>
  <c r="H50" i="25"/>
  <c r="G50" i="25"/>
  <c r="C40" i="25"/>
  <c r="M39" i="25"/>
  <c r="L39" i="25"/>
  <c r="H39" i="25"/>
  <c r="F39" i="25"/>
  <c r="C39" i="25"/>
  <c r="C38" i="25"/>
  <c r="M35" i="25"/>
  <c r="L35" i="25"/>
  <c r="J35" i="25"/>
  <c r="I35" i="25"/>
  <c r="H35" i="25"/>
  <c r="M34" i="25"/>
  <c r="L34" i="25"/>
  <c r="J34" i="25"/>
  <c r="I34" i="25"/>
  <c r="H34" i="25"/>
  <c r="M33" i="25"/>
  <c r="L33" i="25"/>
  <c r="J33" i="25"/>
  <c r="I33" i="25"/>
  <c r="H33" i="25"/>
  <c r="M32" i="25"/>
  <c r="L32" i="25"/>
  <c r="J32" i="25"/>
  <c r="I32" i="25"/>
  <c r="H32" i="25"/>
  <c r="M30" i="25"/>
  <c r="L30" i="25"/>
  <c r="J30" i="25"/>
  <c r="I30" i="25"/>
  <c r="H30" i="25"/>
  <c r="M29" i="25"/>
  <c r="L29" i="25"/>
  <c r="J29" i="25"/>
  <c r="I29" i="25"/>
  <c r="H29" i="25"/>
  <c r="M28" i="25"/>
  <c r="L28" i="25"/>
  <c r="J28" i="25"/>
  <c r="I28" i="25"/>
  <c r="H28" i="25"/>
  <c r="M27" i="25"/>
  <c r="L27" i="25"/>
  <c r="J27" i="25"/>
  <c r="I27" i="25"/>
  <c r="H27" i="25"/>
  <c r="M26" i="25"/>
  <c r="L26" i="25"/>
  <c r="J26" i="25"/>
  <c r="I26" i="25"/>
  <c r="H26" i="25"/>
  <c r="M25" i="25"/>
  <c r="L25" i="25"/>
  <c r="J25" i="25"/>
  <c r="I25" i="25"/>
  <c r="H25" i="25"/>
  <c r="M24" i="25"/>
  <c r="L24" i="25"/>
  <c r="J24" i="25"/>
  <c r="I24" i="25"/>
  <c r="H24" i="25"/>
  <c r="M23" i="25"/>
  <c r="L23" i="25"/>
  <c r="J23" i="25"/>
  <c r="I23" i="25"/>
  <c r="H23" i="25"/>
  <c r="M22" i="25"/>
  <c r="L22" i="25"/>
  <c r="J22" i="25"/>
  <c r="I22" i="25"/>
  <c r="H22" i="25"/>
  <c r="M21" i="25"/>
  <c r="L21" i="25"/>
  <c r="J21" i="25"/>
  <c r="I21" i="25"/>
  <c r="H21" i="25"/>
  <c r="M20" i="25"/>
  <c r="L20" i="25"/>
  <c r="J20" i="25"/>
  <c r="I20" i="25"/>
  <c r="H20" i="25"/>
  <c r="C15" i="25"/>
  <c r="AC11" i="25"/>
  <c r="M8" i="25"/>
  <c r="L8" i="25"/>
  <c r="K8" i="25"/>
  <c r="J8" i="25"/>
  <c r="I8" i="25"/>
  <c r="H8" i="25"/>
  <c r="G8" i="25"/>
  <c r="CM241" i="5"/>
  <c r="CL241" i="5"/>
  <c r="CK241" i="5"/>
  <c r="CJ241" i="5"/>
  <c r="CI241" i="5"/>
  <c r="CH241" i="5"/>
  <c r="CG241" i="5"/>
  <c r="CF241" i="5"/>
  <c r="CE241" i="5"/>
  <c r="CD241" i="5"/>
  <c r="CC241" i="5"/>
  <c r="CB241" i="5"/>
  <c r="CA241" i="5"/>
  <c r="BZ241" i="5"/>
  <c r="BY241" i="5"/>
  <c r="BX241" i="5"/>
  <c r="BW241" i="5"/>
  <c r="BV241" i="5"/>
  <c r="BU241" i="5"/>
  <c r="BT241" i="5"/>
  <c r="BS241" i="5"/>
  <c r="BR241" i="5"/>
  <c r="BQ241" i="5"/>
  <c r="BP241" i="5"/>
  <c r="BO241" i="5"/>
  <c r="BN241" i="5"/>
  <c r="BM241" i="5"/>
  <c r="BL241" i="5"/>
  <c r="BK241" i="5"/>
  <c r="BJ241" i="5"/>
  <c r="BI241" i="5"/>
  <c r="BH241" i="5"/>
  <c r="BG241" i="5"/>
  <c r="BF241" i="5"/>
  <c r="BE241" i="5"/>
  <c r="BD241" i="5"/>
  <c r="BC241" i="5"/>
  <c r="BB241" i="5"/>
  <c r="BA241" i="5"/>
  <c r="AZ241" i="5"/>
  <c r="AY241" i="5"/>
  <c r="AX241" i="5"/>
  <c r="AW241" i="5"/>
  <c r="AV241" i="5"/>
  <c r="AU241" i="5"/>
  <c r="AT241" i="5"/>
  <c r="AS241" i="5"/>
  <c r="CM239" i="5"/>
  <c r="CM240" i="5" s="1"/>
  <c r="CL239" i="5"/>
  <c r="CL240" i="5" s="1"/>
  <c r="CK239" i="5"/>
  <c r="CK240" i="5" s="1"/>
  <c r="CJ239" i="5"/>
  <c r="CJ240" i="5" s="1"/>
  <c r="CI239" i="5"/>
  <c r="CI240" i="5" s="1"/>
  <c r="CH239" i="5"/>
  <c r="CH240" i="5" s="1"/>
  <c r="CG239" i="5"/>
  <c r="CG240" i="5" s="1"/>
  <c r="CF239" i="5"/>
  <c r="CF240" i="5" s="1"/>
  <c r="CE239" i="5"/>
  <c r="CE240" i="5" s="1"/>
  <c r="CD239" i="5"/>
  <c r="CD240" i="5" s="1"/>
  <c r="CC239" i="5"/>
  <c r="CC240" i="5" s="1"/>
  <c r="CB239" i="5"/>
  <c r="CB240" i="5" s="1"/>
  <c r="CA239" i="5"/>
  <c r="CA240" i="5" s="1"/>
  <c r="BZ239" i="5"/>
  <c r="BZ240" i="5" s="1"/>
  <c r="BY239" i="5"/>
  <c r="BY240" i="5" s="1"/>
  <c r="BX239" i="5"/>
  <c r="BX240" i="5" s="1"/>
  <c r="BW239" i="5"/>
  <c r="BW240" i="5" s="1"/>
  <c r="BV239" i="5"/>
  <c r="BV240" i="5" s="1"/>
  <c r="BU239" i="5"/>
  <c r="BU240" i="5" s="1"/>
  <c r="BT239" i="5"/>
  <c r="BT240" i="5" s="1"/>
  <c r="BS239" i="5"/>
  <c r="BS240" i="5" s="1"/>
  <c r="BR239" i="5"/>
  <c r="BR240" i="5" s="1"/>
  <c r="BQ239" i="5"/>
  <c r="BQ240" i="5" s="1"/>
  <c r="BP239" i="5"/>
  <c r="BP240" i="5" s="1"/>
  <c r="BO239" i="5"/>
  <c r="BO240" i="5" s="1"/>
  <c r="BN239" i="5"/>
  <c r="BN240" i="5" s="1"/>
  <c r="BM239" i="5"/>
  <c r="BM240" i="5" s="1"/>
  <c r="BL239" i="5"/>
  <c r="BL240" i="5" s="1"/>
  <c r="BK239" i="5"/>
  <c r="BK240" i="5" s="1"/>
  <c r="BJ239" i="5"/>
  <c r="BJ240" i="5" s="1"/>
  <c r="BI239" i="5"/>
  <c r="BI240" i="5" s="1"/>
  <c r="BH239" i="5"/>
  <c r="BH240" i="5" s="1"/>
  <c r="BG239" i="5"/>
  <c r="BG240" i="5" s="1"/>
  <c r="BF239" i="5"/>
  <c r="BF240" i="5" s="1"/>
  <c r="BE239" i="5"/>
  <c r="BE240" i="5" s="1"/>
  <c r="BD239" i="5"/>
  <c r="BD240" i="5" s="1"/>
  <c r="BC239" i="5"/>
  <c r="BC240" i="5" s="1"/>
  <c r="BB239" i="5"/>
  <c r="BB240" i="5" s="1"/>
  <c r="BA239" i="5"/>
  <c r="BA240" i="5" s="1"/>
  <c r="AZ239" i="5"/>
  <c r="AZ240" i="5" s="1"/>
  <c r="AY239" i="5"/>
  <c r="AY240" i="5" s="1"/>
  <c r="AX239" i="5"/>
  <c r="AX240" i="5" s="1"/>
  <c r="AW239" i="5"/>
  <c r="AW240" i="5" s="1"/>
  <c r="AV239" i="5"/>
  <c r="AV240" i="5" s="1"/>
  <c r="AU239" i="5"/>
  <c r="AU240" i="5" s="1"/>
  <c r="AT239" i="5"/>
  <c r="AT240" i="5" s="1"/>
  <c r="AS239" i="5"/>
  <c r="AS240" i="5" s="1"/>
  <c r="CM237" i="5"/>
  <c r="CM238" i="5" s="1"/>
  <c r="CL237" i="5"/>
  <c r="CL238" i="5" s="1"/>
  <c r="CK237" i="5"/>
  <c r="CK238" i="5" s="1"/>
  <c r="CJ237" i="5"/>
  <c r="CJ238" i="5" s="1"/>
  <c r="CI237" i="5"/>
  <c r="CI238" i="5" s="1"/>
  <c r="CH237" i="5"/>
  <c r="CH238" i="5" s="1"/>
  <c r="CG237" i="5"/>
  <c r="CG238" i="5" s="1"/>
  <c r="CF237" i="5"/>
  <c r="CF238" i="5" s="1"/>
  <c r="CE237" i="5"/>
  <c r="CE238" i="5" s="1"/>
  <c r="CD237" i="5"/>
  <c r="CD238" i="5" s="1"/>
  <c r="CC237" i="5"/>
  <c r="CC238" i="5" s="1"/>
  <c r="CB237" i="5"/>
  <c r="CB238" i="5" s="1"/>
  <c r="CA237" i="5"/>
  <c r="CA238" i="5" s="1"/>
  <c r="BZ237" i="5"/>
  <c r="BZ238" i="5" s="1"/>
  <c r="BY237" i="5"/>
  <c r="BY238" i="5" s="1"/>
  <c r="BX237" i="5"/>
  <c r="BX238" i="5" s="1"/>
  <c r="BW237" i="5"/>
  <c r="BW238" i="5" s="1"/>
  <c r="BV237" i="5"/>
  <c r="BV238" i="5" s="1"/>
  <c r="BU237" i="5"/>
  <c r="BU238" i="5" s="1"/>
  <c r="BT237" i="5"/>
  <c r="BT238" i="5" s="1"/>
  <c r="BS237" i="5"/>
  <c r="BS238" i="5" s="1"/>
  <c r="BR237" i="5"/>
  <c r="BR238" i="5" s="1"/>
  <c r="BQ237" i="5"/>
  <c r="BQ238" i="5" s="1"/>
  <c r="BP237" i="5"/>
  <c r="BP238" i="5" s="1"/>
  <c r="BO237" i="5"/>
  <c r="BO238" i="5" s="1"/>
  <c r="BN237" i="5"/>
  <c r="BN238" i="5" s="1"/>
  <c r="BM237" i="5"/>
  <c r="BM238" i="5" s="1"/>
  <c r="BL237" i="5"/>
  <c r="BL238" i="5" s="1"/>
  <c r="BK237" i="5"/>
  <c r="BK238" i="5" s="1"/>
  <c r="BJ237" i="5"/>
  <c r="BJ238" i="5" s="1"/>
  <c r="BI237" i="5"/>
  <c r="BI238" i="5" s="1"/>
  <c r="BH237" i="5"/>
  <c r="BH238" i="5" s="1"/>
  <c r="BG237" i="5"/>
  <c r="BG238" i="5" s="1"/>
  <c r="BF237" i="5"/>
  <c r="BF238" i="5" s="1"/>
  <c r="BE237" i="5"/>
  <c r="BE238" i="5" s="1"/>
  <c r="BD237" i="5"/>
  <c r="BD238" i="5" s="1"/>
  <c r="BC237" i="5"/>
  <c r="BC238" i="5" s="1"/>
  <c r="BB237" i="5"/>
  <c r="BB238" i="5" s="1"/>
  <c r="BA237" i="5"/>
  <c r="BA238" i="5" s="1"/>
  <c r="AZ237" i="5"/>
  <c r="AZ238" i="5" s="1"/>
  <c r="AY237" i="5"/>
  <c r="AY238" i="5" s="1"/>
  <c r="AX237" i="5"/>
  <c r="AX238" i="5" s="1"/>
  <c r="AW237" i="5"/>
  <c r="AW238" i="5" s="1"/>
  <c r="AV237" i="5"/>
  <c r="AV238" i="5" s="1"/>
  <c r="AU237" i="5"/>
  <c r="AU238" i="5" s="1"/>
  <c r="AT237" i="5"/>
  <c r="AT238" i="5" s="1"/>
  <c r="AS237" i="5"/>
  <c r="AS238" i="5" s="1"/>
  <c r="CM235" i="5"/>
  <c r="CM236" i="5" s="1"/>
  <c r="CL235" i="5"/>
  <c r="CL236" i="5" s="1"/>
  <c r="CK235" i="5"/>
  <c r="CK236" i="5" s="1"/>
  <c r="CJ235" i="5"/>
  <c r="CJ236" i="5" s="1"/>
  <c r="CI235" i="5"/>
  <c r="CI236" i="5" s="1"/>
  <c r="CH235" i="5"/>
  <c r="CH236" i="5" s="1"/>
  <c r="CG235" i="5"/>
  <c r="CG236" i="5" s="1"/>
  <c r="CF235" i="5"/>
  <c r="CF236" i="5" s="1"/>
  <c r="CE235" i="5"/>
  <c r="CE236" i="5" s="1"/>
  <c r="CD235" i="5"/>
  <c r="CD236" i="5" s="1"/>
  <c r="CC235" i="5"/>
  <c r="CC236" i="5" s="1"/>
  <c r="CB235" i="5"/>
  <c r="CB236" i="5" s="1"/>
  <c r="CA235" i="5"/>
  <c r="CA236" i="5" s="1"/>
  <c r="BZ235" i="5"/>
  <c r="BZ236" i="5" s="1"/>
  <c r="BY235" i="5"/>
  <c r="BY236" i="5" s="1"/>
  <c r="BX235" i="5"/>
  <c r="BX236" i="5" s="1"/>
  <c r="BW235" i="5"/>
  <c r="BW236" i="5" s="1"/>
  <c r="BV235" i="5"/>
  <c r="BV236" i="5" s="1"/>
  <c r="BU235" i="5"/>
  <c r="BU236" i="5" s="1"/>
  <c r="BT235" i="5"/>
  <c r="BT236" i="5" s="1"/>
  <c r="BS235" i="5"/>
  <c r="BS236" i="5" s="1"/>
  <c r="BR235" i="5"/>
  <c r="BR236" i="5" s="1"/>
  <c r="BQ235" i="5"/>
  <c r="BQ236" i="5" s="1"/>
  <c r="BP235" i="5"/>
  <c r="BP236" i="5" s="1"/>
  <c r="BO235" i="5"/>
  <c r="BO236" i="5" s="1"/>
  <c r="BN235" i="5"/>
  <c r="BN236" i="5" s="1"/>
  <c r="BM235" i="5"/>
  <c r="BM236" i="5" s="1"/>
  <c r="BL235" i="5"/>
  <c r="BL236" i="5" s="1"/>
  <c r="BK235" i="5"/>
  <c r="BK236" i="5" s="1"/>
  <c r="BJ235" i="5"/>
  <c r="BJ236" i="5" s="1"/>
  <c r="BI235" i="5"/>
  <c r="BI236" i="5" s="1"/>
  <c r="BH235" i="5"/>
  <c r="BH236" i="5" s="1"/>
  <c r="BG235" i="5"/>
  <c r="BG236" i="5" s="1"/>
  <c r="BF235" i="5"/>
  <c r="BF236" i="5" s="1"/>
  <c r="BE235" i="5"/>
  <c r="BE236" i="5" s="1"/>
  <c r="BD235" i="5"/>
  <c r="BD236" i="5" s="1"/>
  <c r="BC235" i="5"/>
  <c r="BC236" i="5" s="1"/>
  <c r="BB235" i="5"/>
  <c r="BB236" i="5" s="1"/>
  <c r="BA235" i="5"/>
  <c r="BA236" i="5" s="1"/>
  <c r="AZ235" i="5"/>
  <c r="AZ236" i="5" s="1"/>
  <c r="AY235" i="5"/>
  <c r="AY236" i="5" s="1"/>
  <c r="AX235" i="5"/>
  <c r="AX236" i="5" s="1"/>
  <c r="AW235" i="5"/>
  <c r="AW236" i="5" s="1"/>
  <c r="AV235" i="5"/>
  <c r="AV236" i="5" s="1"/>
  <c r="AU235" i="5"/>
  <c r="AU236" i="5" s="1"/>
  <c r="AT235" i="5"/>
  <c r="AT236" i="5" s="1"/>
  <c r="AS235" i="5"/>
  <c r="AS236" i="5" s="1"/>
  <c r="CM233" i="5"/>
  <c r="CM234" i="5" s="1"/>
  <c r="CL233" i="5"/>
  <c r="CL234" i="5" s="1"/>
  <c r="CK233" i="5"/>
  <c r="CK234" i="5" s="1"/>
  <c r="CJ233" i="5"/>
  <c r="CJ234" i="5" s="1"/>
  <c r="CI233" i="5"/>
  <c r="CI234" i="5" s="1"/>
  <c r="CH233" i="5"/>
  <c r="CH234" i="5" s="1"/>
  <c r="CG233" i="5"/>
  <c r="CG234" i="5" s="1"/>
  <c r="CF233" i="5"/>
  <c r="CF234" i="5" s="1"/>
  <c r="CE233" i="5"/>
  <c r="CE234" i="5" s="1"/>
  <c r="CD233" i="5"/>
  <c r="CD234" i="5" s="1"/>
  <c r="CC233" i="5"/>
  <c r="CC234" i="5" s="1"/>
  <c r="CB233" i="5"/>
  <c r="CB234" i="5" s="1"/>
  <c r="CA233" i="5"/>
  <c r="CA234" i="5" s="1"/>
  <c r="BZ233" i="5"/>
  <c r="BZ234" i="5" s="1"/>
  <c r="BY233" i="5"/>
  <c r="BY234" i="5" s="1"/>
  <c r="BX233" i="5"/>
  <c r="BX234" i="5" s="1"/>
  <c r="BW233" i="5"/>
  <c r="BW234" i="5" s="1"/>
  <c r="BV233" i="5"/>
  <c r="BV234" i="5" s="1"/>
  <c r="BU233" i="5"/>
  <c r="BU234" i="5" s="1"/>
  <c r="BT233" i="5"/>
  <c r="BT234" i="5" s="1"/>
  <c r="BS233" i="5"/>
  <c r="BS234" i="5" s="1"/>
  <c r="BR233" i="5"/>
  <c r="BR234" i="5" s="1"/>
  <c r="BQ233" i="5"/>
  <c r="BQ234" i="5" s="1"/>
  <c r="BP233" i="5"/>
  <c r="BP234" i="5" s="1"/>
  <c r="BO233" i="5"/>
  <c r="BO234" i="5" s="1"/>
  <c r="BN233" i="5"/>
  <c r="BN234" i="5" s="1"/>
  <c r="BM233" i="5"/>
  <c r="BM234" i="5" s="1"/>
  <c r="BL233" i="5"/>
  <c r="BL234" i="5" s="1"/>
  <c r="BK233" i="5"/>
  <c r="BK234" i="5" s="1"/>
  <c r="BJ233" i="5"/>
  <c r="BJ234" i="5" s="1"/>
  <c r="BI233" i="5"/>
  <c r="BI234" i="5" s="1"/>
  <c r="BH233" i="5"/>
  <c r="BH234" i="5" s="1"/>
  <c r="BG233" i="5"/>
  <c r="BG234" i="5" s="1"/>
  <c r="BF233" i="5"/>
  <c r="BF234" i="5" s="1"/>
  <c r="BE233" i="5"/>
  <c r="BE234" i="5" s="1"/>
  <c r="BD233" i="5"/>
  <c r="BD234" i="5" s="1"/>
  <c r="BC233" i="5"/>
  <c r="BC234" i="5" s="1"/>
  <c r="BB233" i="5"/>
  <c r="BB234" i="5" s="1"/>
  <c r="BA233" i="5"/>
  <c r="BA234" i="5" s="1"/>
  <c r="AZ233" i="5"/>
  <c r="AZ234" i="5" s="1"/>
  <c r="AY233" i="5"/>
  <c r="AY234" i="5" s="1"/>
  <c r="AX233" i="5"/>
  <c r="AX234" i="5" s="1"/>
  <c r="AW233" i="5"/>
  <c r="AW234" i="5" s="1"/>
  <c r="AV233" i="5"/>
  <c r="AV234" i="5" s="1"/>
  <c r="AU233" i="5"/>
  <c r="AU234" i="5" s="1"/>
  <c r="AT233" i="5"/>
  <c r="AT234" i="5" s="1"/>
  <c r="AS233" i="5"/>
  <c r="AS234" i="5" s="1"/>
  <c r="CM231" i="5"/>
  <c r="CM232" i="5" s="1"/>
  <c r="CL231" i="5"/>
  <c r="CL232" i="5" s="1"/>
  <c r="CK231" i="5"/>
  <c r="CK232" i="5" s="1"/>
  <c r="CJ231" i="5"/>
  <c r="CJ232" i="5" s="1"/>
  <c r="CI231" i="5"/>
  <c r="CI232" i="5" s="1"/>
  <c r="CH231" i="5"/>
  <c r="CH232" i="5" s="1"/>
  <c r="CG231" i="5"/>
  <c r="CG232" i="5" s="1"/>
  <c r="CF231" i="5"/>
  <c r="CF232" i="5" s="1"/>
  <c r="CE231" i="5"/>
  <c r="CE232" i="5" s="1"/>
  <c r="CD231" i="5"/>
  <c r="CD232" i="5" s="1"/>
  <c r="CC231" i="5"/>
  <c r="CC232" i="5" s="1"/>
  <c r="CB231" i="5"/>
  <c r="CB232" i="5" s="1"/>
  <c r="CA231" i="5"/>
  <c r="CA232" i="5" s="1"/>
  <c r="BZ231" i="5"/>
  <c r="BZ232" i="5" s="1"/>
  <c r="BY231" i="5"/>
  <c r="BY232" i="5" s="1"/>
  <c r="BX231" i="5"/>
  <c r="BX232" i="5" s="1"/>
  <c r="BW231" i="5"/>
  <c r="BW232" i="5" s="1"/>
  <c r="BV231" i="5"/>
  <c r="BV232" i="5" s="1"/>
  <c r="BU231" i="5"/>
  <c r="BU232" i="5" s="1"/>
  <c r="BT231" i="5"/>
  <c r="BT232" i="5" s="1"/>
  <c r="BS231" i="5"/>
  <c r="BS232" i="5" s="1"/>
  <c r="BR231" i="5"/>
  <c r="BR232" i="5" s="1"/>
  <c r="BQ231" i="5"/>
  <c r="BQ232" i="5" s="1"/>
  <c r="BP231" i="5"/>
  <c r="BP232" i="5" s="1"/>
  <c r="BO231" i="5"/>
  <c r="BO232" i="5" s="1"/>
  <c r="BN231" i="5"/>
  <c r="BN232" i="5" s="1"/>
  <c r="BM231" i="5"/>
  <c r="BM232" i="5" s="1"/>
  <c r="BL231" i="5"/>
  <c r="BL232" i="5" s="1"/>
  <c r="BK231" i="5"/>
  <c r="BK232" i="5" s="1"/>
  <c r="BJ231" i="5"/>
  <c r="BJ232" i="5" s="1"/>
  <c r="BI231" i="5"/>
  <c r="BI232" i="5" s="1"/>
  <c r="BH231" i="5"/>
  <c r="BH232" i="5" s="1"/>
  <c r="BG231" i="5"/>
  <c r="BG232" i="5" s="1"/>
  <c r="BF231" i="5"/>
  <c r="BF232" i="5" s="1"/>
  <c r="BE231" i="5"/>
  <c r="BE232" i="5" s="1"/>
  <c r="BD231" i="5"/>
  <c r="BD232" i="5" s="1"/>
  <c r="BC231" i="5"/>
  <c r="BC232" i="5" s="1"/>
  <c r="BB231" i="5"/>
  <c r="BB232" i="5" s="1"/>
  <c r="BA231" i="5"/>
  <c r="BA232" i="5" s="1"/>
  <c r="AZ231" i="5"/>
  <c r="AZ232" i="5" s="1"/>
  <c r="AY231" i="5"/>
  <c r="AY232" i="5" s="1"/>
  <c r="AX231" i="5"/>
  <c r="AX232" i="5" s="1"/>
  <c r="AW231" i="5"/>
  <c r="AW232" i="5" s="1"/>
  <c r="AV231" i="5"/>
  <c r="AV232" i="5" s="1"/>
  <c r="AU231" i="5"/>
  <c r="AU232" i="5" s="1"/>
  <c r="AT231" i="5"/>
  <c r="AT232" i="5" s="1"/>
  <c r="AS231" i="5"/>
  <c r="AS232" i="5" s="1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F52" i="18" s="1"/>
  <c r="F56" i="18" s="1"/>
  <c r="F60" i="18" s="1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CM225" i="5"/>
  <c r="CL225" i="5"/>
  <c r="CK225" i="5"/>
  <c r="CJ225" i="5"/>
  <c r="CI225" i="5"/>
  <c r="CH225" i="5"/>
  <c r="CG225" i="5"/>
  <c r="CF225" i="5"/>
  <c r="CE225" i="5"/>
  <c r="CD225" i="5"/>
  <c r="CC225" i="5"/>
  <c r="CB225" i="5"/>
  <c r="CA225" i="5"/>
  <c r="BZ225" i="5"/>
  <c r="BY225" i="5"/>
  <c r="BX225" i="5"/>
  <c r="BW225" i="5"/>
  <c r="BV225" i="5"/>
  <c r="BU225" i="5"/>
  <c r="BT225" i="5"/>
  <c r="BS225" i="5"/>
  <c r="BR225" i="5"/>
  <c r="BQ225" i="5"/>
  <c r="BP225" i="5"/>
  <c r="BO225" i="5"/>
  <c r="BN225" i="5"/>
  <c r="BM225" i="5"/>
  <c r="BL225" i="5"/>
  <c r="BK225" i="5"/>
  <c r="BJ225" i="5"/>
  <c r="BI225" i="5"/>
  <c r="BH225" i="5"/>
  <c r="BG225" i="5"/>
  <c r="BF225" i="5"/>
  <c r="BE225" i="5"/>
  <c r="BD225" i="5"/>
  <c r="BC225" i="5"/>
  <c r="BB225" i="5"/>
  <c r="BA225" i="5"/>
  <c r="AZ225" i="5"/>
  <c r="AY225" i="5"/>
  <c r="AX225" i="5"/>
  <c r="AW225" i="5"/>
  <c r="AV225" i="5"/>
  <c r="AU225" i="5"/>
  <c r="AT225" i="5"/>
  <c r="AS225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CM220" i="5"/>
  <c r="CL220" i="5"/>
  <c r="CK220" i="5"/>
  <c r="CJ220" i="5"/>
  <c r="CI220" i="5"/>
  <c r="CH220" i="5"/>
  <c r="CG220" i="5"/>
  <c r="CF220" i="5"/>
  <c r="CE220" i="5"/>
  <c r="CD220" i="5"/>
  <c r="CC220" i="5"/>
  <c r="CB220" i="5"/>
  <c r="CA220" i="5"/>
  <c r="BZ220" i="5"/>
  <c r="BY220" i="5"/>
  <c r="BX220" i="5"/>
  <c r="BW220" i="5"/>
  <c r="BV220" i="5"/>
  <c r="BU220" i="5"/>
  <c r="BT220" i="5"/>
  <c r="BS220" i="5"/>
  <c r="BR220" i="5"/>
  <c r="BQ220" i="5"/>
  <c r="BP220" i="5"/>
  <c r="BO220" i="5"/>
  <c r="BN220" i="5"/>
  <c r="BM220" i="5"/>
  <c r="BL220" i="5"/>
  <c r="BK220" i="5"/>
  <c r="BJ220" i="5"/>
  <c r="BI220" i="5"/>
  <c r="BH220" i="5"/>
  <c r="BG220" i="5"/>
  <c r="BF220" i="5"/>
  <c r="BE220" i="5"/>
  <c r="BD220" i="5"/>
  <c r="BC220" i="5"/>
  <c r="BB220" i="5"/>
  <c r="BA220" i="5"/>
  <c r="AZ220" i="5"/>
  <c r="AY220" i="5"/>
  <c r="AX220" i="5"/>
  <c r="AW220" i="5"/>
  <c r="AV220" i="5"/>
  <c r="AU220" i="5"/>
  <c r="AT220" i="5"/>
  <c r="AS220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213" i="5"/>
  <c r="CL213" i="5"/>
  <c r="CK213" i="5"/>
  <c r="CJ213" i="5"/>
  <c r="CI213" i="5"/>
  <c r="CH213" i="5"/>
  <c r="CG213" i="5"/>
  <c r="CF213" i="5"/>
  <c r="CE213" i="5"/>
  <c r="CD213" i="5"/>
  <c r="CC213" i="5"/>
  <c r="CB213" i="5"/>
  <c r="CA213" i="5"/>
  <c r="BZ213" i="5"/>
  <c r="BY213" i="5"/>
  <c r="BX213" i="5"/>
  <c r="BW213" i="5"/>
  <c r="BV213" i="5"/>
  <c r="BU213" i="5"/>
  <c r="BT213" i="5"/>
  <c r="BS213" i="5"/>
  <c r="BR213" i="5"/>
  <c r="BQ213" i="5"/>
  <c r="BP213" i="5"/>
  <c r="BO213" i="5"/>
  <c r="BN213" i="5"/>
  <c r="BM213" i="5"/>
  <c r="BL213" i="5"/>
  <c r="BK213" i="5"/>
  <c r="BJ213" i="5"/>
  <c r="BI213" i="5"/>
  <c r="BH213" i="5"/>
  <c r="BG213" i="5"/>
  <c r="BF213" i="5"/>
  <c r="BE213" i="5"/>
  <c r="BD213" i="5"/>
  <c r="BC213" i="5"/>
  <c r="BB213" i="5"/>
  <c r="BA213" i="5"/>
  <c r="AZ213" i="5"/>
  <c r="AY213" i="5"/>
  <c r="AX213" i="5"/>
  <c r="AW213" i="5"/>
  <c r="AV213" i="5"/>
  <c r="AU213" i="5"/>
  <c r="AT213" i="5"/>
  <c r="AS213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" i="5"/>
  <c r="AX2" i="5" s="1"/>
  <c r="N21" i="27" l="1"/>
  <c r="N27" i="28"/>
  <c r="N25" i="29"/>
  <c r="N26" i="30"/>
  <c r="N23" i="31"/>
  <c r="N22" i="32"/>
  <c r="N25" i="32"/>
  <c r="N28" i="32"/>
  <c r="N26" i="27"/>
  <c r="N35" i="27"/>
  <c r="N27" i="30"/>
  <c r="N32" i="30"/>
  <c r="N35" i="31"/>
  <c r="N26" i="32"/>
  <c r="N29" i="32"/>
  <c r="N33" i="32"/>
  <c r="N27" i="27"/>
  <c r="N23" i="29"/>
  <c r="N28" i="30"/>
  <c r="N33" i="30"/>
  <c r="N20" i="32"/>
  <c r="N30" i="32"/>
  <c r="N34" i="32"/>
  <c r="N26" i="28"/>
  <c r="N35" i="28"/>
  <c r="N24" i="29"/>
  <c r="N33" i="29"/>
  <c r="N29" i="30"/>
  <c r="N34" i="30"/>
  <c r="N21" i="32"/>
  <c r="N24" i="32"/>
  <c r="N35" i="32"/>
  <c r="AU294" i="5"/>
  <c r="AU295" i="5" s="1"/>
  <c r="AT294" i="5"/>
  <c r="AT295" i="5" s="1"/>
  <c r="BA292" i="5"/>
  <c r="AY292" i="5"/>
  <c r="BA294" i="5"/>
  <c r="BA295" i="5" s="1"/>
  <c r="AY294" i="5"/>
  <c r="AY295" i="5" s="1"/>
  <c r="AV292" i="5"/>
  <c r="AX294" i="5"/>
  <c r="AX295" i="5" s="1"/>
  <c r="AU292" i="5"/>
  <c r="AV294" i="5"/>
  <c r="AV295" i="5" s="1"/>
  <c r="AT292" i="5"/>
  <c r="AV291" i="5"/>
  <c r="AY291" i="5"/>
  <c r="AX289" i="5"/>
  <c r="AX292" i="5"/>
  <c r="AX291" i="5"/>
  <c r="AV289" i="5"/>
  <c r="AU291" i="5"/>
  <c r="AU289" i="5"/>
  <c r="AU283" i="5"/>
  <c r="AU284" i="5" s="1"/>
  <c r="AT291" i="5"/>
  <c r="AT289" i="5"/>
  <c r="AT283" i="5"/>
  <c r="AT284" i="5" s="1"/>
  <c r="AU281" i="5"/>
  <c r="AU280" i="5"/>
  <c r="AT281" i="5"/>
  <c r="AT280" i="5"/>
  <c r="BA289" i="5"/>
  <c r="BA291" i="5"/>
  <c r="AY289" i="5"/>
  <c r="AY290" i="5" s="1"/>
  <c r="AT266" i="5"/>
  <c r="AT267" i="5" s="1"/>
  <c r="AU272" i="5"/>
  <c r="AU275" i="5"/>
  <c r="AU276" i="5" s="1"/>
  <c r="AU266" i="5"/>
  <c r="AU267" i="5" s="1"/>
  <c r="AT273" i="5"/>
  <c r="AT277" i="5"/>
  <c r="AT268" i="5"/>
  <c r="AU273" i="5"/>
  <c r="AU277" i="5"/>
  <c r="AT278" i="5"/>
  <c r="AU268" i="5"/>
  <c r="AU278" i="5"/>
  <c r="AT270" i="5"/>
  <c r="AU270" i="5"/>
  <c r="AT271" i="5"/>
  <c r="AU271" i="5"/>
  <c r="AT272" i="5"/>
  <c r="AT275" i="5"/>
  <c r="AT276" i="5" s="1"/>
  <c r="N39" i="32"/>
  <c r="F67" i="32"/>
  <c r="N20" i="28"/>
  <c r="N30" i="30"/>
  <c r="N32" i="29"/>
  <c r="N26" i="31"/>
  <c r="N29" i="31"/>
  <c r="N20" i="31"/>
  <c r="N27" i="29"/>
  <c r="N22" i="31"/>
  <c r="N25" i="31"/>
  <c r="N30" i="31"/>
  <c r="N34" i="31"/>
  <c r="CM257" i="5"/>
  <c r="CM258" i="5" s="1"/>
  <c r="CL257" i="5"/>
  <c r="CL258" i="5" s="1"/>
  <c r="AW257" i="5"/>
  <c r="AW258" i="5" s="1"/>
  <c r="AX257" i="5"/>
  <c r="AX258" i="5" s="1"/>
  <c r="N39" i="31"/>
  <c r="N25" i="27"/>
  <c r="N23" i="28"/>
  <c r="N20" i="30"/>
  <c r="N29" i="29"/>
  <c r="N33" i="27"/>
  <c r="N20" i="29"/>
  <c r="N22" i="30"/>
  <c r="F52" i="31"/>
  <c r="F56" i="31" s="1"/>
  <c r="F60" i="31" s="1"/>
  <c r="N33" i="28"/>
  <c r="N22" i="29"/>
  <c r="N35" i="30"/>
  <c r="N23" i="27"/>
  <c r="N21" i="28"/>
  <c r="N29" i="28"/>
  <c r="N24" i="30"/>
  <c r="CL253" i="5"/>
  <c r="CL254" i="5" s="1"/>
  <c r="E148" i="10" s="1"/>
  <c r="AW255" i="5"/>
  <c r="AW256" i="5" s="1"/>
  <c r="AW253" i="5"/>
  <c r="AW254" i="5" s="1"/>
  <c r="CM255" i="5"/>
  <c r="CM256" i="5" s="1"/>
  <c r="CM253" i="5"/>
  <c r="CM254" i="5" s="1"/>
  <c r="I11" i="30" s="1"/>
  <c r="I39" i="30" s="1"/>
  <c r="AB39" i="30" s="1"/>
  <c r="AX255" i="5"/>
  <c r="AX256" i="5" s="1"/>
  <c r="AX253" i="5"/>
  <c r="AX254" i="5" s="1"/>
  <c r="CL255" i="5"/>
  <c r="CL256" i="5" s="1"/>
  <c r="G12" i="29"/>
  <c r="G40" i="29" s="1"/>
  <c r="E138" i="10"/>
  <c r="D136" i="10"/>
  <c r="F10" i="29"/>
  <c r="I136" i="10"/>
  <c r="K10" i="29"/>
  <c r="F12" i="29"/>
  <c r="F40" i="29" s="1"/>
  <c r="D138" i="10"/>
  <c r="G11" i="29"/>
  <c r="G39" i="29" s="1"/>
  <c r="E137" i="10"/>
  <c r="E136" i="10"/>
  <c r="G10" i="29"/>
  <c r="L12" i="29"/>
  <c r="L40" i="29" s="1"/>
  <c r="L10" i="29"/>
  <c r="G137" i="10"/>
  <c r="K138" i="10"/>
  <c r="L138" i="10" s="1"/>
  <c r="N39" i="30"/>
  <c r="G136" i="10"/>
  <c r="I10" i="29"/>
  <c r="M10" i="29"/>
  <c r="M38" i="29" s="1"/>
  <c r="K136" i="10"/>
  <c r="L136" i="10" s="1"/>
  <c r="M40" i="29"/>
  <c r="H38" i="29"/>
  <c r="H41" i="29" s="1"/>
  <c r="H13" i="29"/>
  <c r="F67" i="30"/>
  <c r="N27" i="25"/>
  <c r="N29" i="27"/>
  <c r="N22" i="28"/>
  <c r="N34" i="28"/>
  <c r="I12" i="29"/>
  <c r="I40" i="29" s="1"/>
  <c r="N20" i="27"/>
  <c r="N30" i="29"/>
  <c r="N34" i="29"/>
  <c r="N26" i="29"/>
  <c r="F136" i="10"/>
  <c r="N32" i="28"/>
  <c r="F138" i="10"/>
  <c r="N25" i="28"/>
  <c r="N28" i="29"/>
  <c r="N35" i="29"/>
  <c r="J139" i="10"/>
  <c r="N39" i="29"/>
  <c r="F67" i="29"/>
  <c r="N34" i="27"/>
  <c r="N30" i="28"/>
  <c r="N20" i="26"/>
  <c r="N33" i="25"/>
  <c r="N28" i="28"/>
  <c r="N23" i="25"/>
  <c r="N32" i="27"/>
  <c r="N24" i="28"/>
  <c r="CM247" i="5"/>
  <c r="CM248" i="5" s="1"/>
  <c r="G115" i="10" s="1"/>
  <c r="F128" i="10"/>
  <c r="H10" i="28"/>
  <c r="H38" i="28" s="1"/>
  <c r="J125" i="10"/>
  <c r="J128" i="10" s="1"/>
  <c r="G10" i="28"/>
  <c r="E125" i="10"/>
  <c r="I11" i="28"/>
  <c r="I39" i="28" s="1"/>
  <c r="AB39" i="28" s="1"/>
  <c r="G126" i="10"/>
  <c r="E127" i="10"/>
  <c r="H127" i="10" s="1"/>
  <c r="G12" i="28"/>
  <c r="G40" i="28" s="1"/>
  <c r="F10" i="28"/>
  <c r="F38" i="28" s="1"/>
  <c r="D125" i="10"/>
  <c r="D128" i="10" s="1"/>
  <c r="D131" i="10" s="1"/>
  <c r="I125" i="10"/>
  <c r="K10" i="28"/>
  <c r="L38" i="28"/>
  <c r="L127" i="10"/>
  <c r="I10" i="28"/>
  <c r="G125" i="10"/>
  <c r="M10" i="28"/>
  <c r="M38" i="28" s="1"/>
  <c r="K125" i="10"/>
  <c r="K128" i="10" s="1"/>
  <c r="G11" i="28"/>
  <c r="AB11" i="28" s="1"/>
  <c r="E126" i="10"/>
  <c r="L12" i="28"/>
  <c r="L40" i="28" s="1"/>
  <c r="AW245" i="5"/>
  <c r="AW246" i="5" s="1"/>
  <c r="M12" i="28"/>
  <c r="M40" i="28" s="1"/>
  <c r="F12" i="28"/>
  <c r="F40" i="28" s="1"/>
  <c r="AW247" i="5"/>
  <c r="AW248" i="5" s="1"/>
  <c r="H12" i="28"/>
  <c r="I12" i="28"/>
  <c r="I40" i="28" s="1"/>
  <c r="N39" i="28"/>
  <c r="F67" i="28"/>
  <c r="N21" i="25"/>
  <c r="N30" i="27"/>
  <c r="N26" i="26"/>
  <c r="N35" i="26"/>
  <c r="N22" i="27"/>
  <c r="N28" i="27"/>
  <c r="N28" i="26"/>
  <c r="N24" i="27"/>
  <c r="AX245" i="5"/>
  <c r="AX246" i="5" s="1"/>
  <c r="CL245" i="5"/>
  <c r="CL246" i="5" s="1"/>
  <c r="AX247" i="5"/>
  <c r="AX248" i="5" s="1"/>
  <c r="CL247" i="5"/>
  <c r="CL248" i="5" s="1"/>
  <c r="E115" i="10" s="1"/>
  <c r="CM245" i="5"/>
  <c r="CM246" i="5" s="1"/>
  <c r="N39" i="27"/>
  <c r="F67" i="27"/>
  <c r="N25" i="26"/>
  <c r="N34" i="26"/>
  <c r="N22" i="26"/>
  <c r="N27" i="26"/>
  <c r="N30" i="26"/>
  <c r="N32" i="25"/>
  <c r="N21" i="26"/>
  <c r="N24" i="26"/>
  <c r="N29" i="26"/>
  <c r="N33" i="26"/>
  <c r="N25" i="25"/>
  <c r="N34" i="25"/>
  <c r="N22" i="25"/>
  <c r="N30" i="25"/>
  <c r="N23" i="26"/>
  <c r="N32" i="26"/>
  <c r="N39" i="26"/>
  <c r="N28" i="25"/>
  <c r="N24" i="25"/>
  <c r="F52" i="26"/>
  <c r="F56" i="26" s="1"/>
  <c r="F60" i="26" s="1"/>
  <c r="N26" i="25"/>
  <c r="N29" i="25"/>
  <c r="N20" i="25"/>
  <c r="N35" i="25"/>
  <c r="N39" i="25"/>
  <c r="F52" i="25"/>
  <c r="F56" i="25" s="1"/>
  <c r="F60" i="25" s="1"/>
  <c r="N24" i="19"/>
  <c r="N33" i="19"/>
  <c r="CM242" i="5"/>
  <c r="CM243" i="5" s="1"/>
  <c r="AW242" i="5"/>
  <c r="AW243" i="5" s="1"/>
  <c r="AX242" i="5"/>
  <c r="AX243" i="5" s="1"/>
  <c r="CL242" i="5"/>
  <c r="CL243" i="5" s="1"/>
  <c r="N21" i="16"/>
  <c r="N34" i="18"/>
  <c r="N26" i="19"/>
  <c r="N35" i="19"/>
  <c r="N28" i="19"/>
  <c r="N33" i="16"/>
  <c r="N21" i="19"/>
  <c r="N29" i="19"/>
  <c r="N27" i="19"/>
  <c r="N23" i="18"/>
  <c r="N32" i="18"/>
  <c r="N25" i="15"/>
  <c r="N34" i="15"/>
  <c r="N26" i="16"/>
  <c r="N33" i="17"/>
  <c r="N23" i="19"/>
  <c r="N32" i="19"/>
  <c r="N34" i="19"/>
  <c r="N32" i="16"/>
  <c r="N20" i="19"/>
  <c r="N33" i="15"/>
  <c r="N30" i="19"/>
  <c r="N22" i="19"/>
  <c r="N27" i="17"/>
  <c r="N25" i="19"/>
  <c r="N35" i="16"/>
  <c r="AW229" i="5"/>
  <c r="AW230" i="5" s="1"/>
  <c r="CM229" i="5"/>
  <c r="CM230" i="5" s="1"/>
  <c r="I11" i="19" s="1"/>
  <c r="I39" i="19" s="1"/>
  <c r="AB39" i="19" s="1"/>
  <c r="AX229" i="5"/>
  <c r="AX230" i="5" s="1"/>
  <c r="CL229" i="5"/>
  <c r="CL230" i="5" s="1"/>
  <c r="G11" i="19" s="1"/>
  <c r="N39" i="19"/>
  <c r="N23" i="16"/>
  <c r="N28" i="16"/>
  <c r="N20" i="18"/>
  <c r="N28" i="18"/>
  <c r="N20" i="14"/>
  <c r="N28" i="14"/>
  <c r="N34" i="16"/>
  <c r="N23" i="17"/>
  <c r="N32" i="17"/>
  <c r="N22" i="18"/>
  <c r="N25" i="18"/>
  <c r="N30" i="18"/>
  <c r="N33" i="13"/>
  <c r="N22" i="14"/>
  <c r="N24" i="16"/>
  <c r="N24" i="18"/>
  <c r="N27" i="18"/>
  <c r="N33" i="18"/>
  <c r="F52" i="19"/>
  <c r="F56" i="19" s="1"/>
  <c r="F60" i="19" s="1"/>
  <c r="N34" i="17"/>
  <c r="N29" i="16"/>
  <c r="N21" i="18"/>
  <c r="N26" i="18"/>
  <c r="N29" i="18"/>
  <c r="N35" i="18"/>
  <c r="N39" i="18"/>
  <c r="F67" i="18"/>
  <c r="N22" i="17"/>
  <c r="N24" i="15"/>
  <c r="N20" i="16"/>
  <c r="N30" i="17"/>
  <c r="N34" i="13"/>
  <c r="N26" i="15"/>
  <c r="N25" i="16"/>
  <c r="N21" i="17"/>
  <c r="N24" i="17"/>
  <c r="N29" i="17"/>
  <c r="N32" i="15"/>
  <c r="N26" i="17"/>
  <c r="N27" i="14"/>
  <c r="N28" i="15"/>
  <c r="N27" i="16"/>
  <c r="N35" i="17"/>
  <c r="N29" i="14"/>
  <c r="N22" i="15"/>
  <c r="N30" i="15"/>
  <c r="N20" i="17"/>
  <c r="N25" i="17"/>
  <c r="N28" i="17"/>
  <c r="CM227" i="5"/>
  <c r="AX227" i="5"/>
  <c r="CL227" i="5"/>
  <c r="AW227" i="5"/>
  <c r="CM226" i="5"/>
  <c r="AX226" i="5"/>
  <c r="AW226" i="5"/>
  <c r="CL226" i="5"/>
  <c r="AW223" i="5"/>
  <c r="AW224" i="5" s="1"/>
  <c r="CM223" i="5"/>
  <c r="CM224" i="5" s="1"/>
  <c r="CL223" i="5"/>
  <c r="CL224" i="5" s="1"/>
  <c r="N39" i="17"/>
  <c r="N20" i="15"/>
  <c r="N22" i="16"/>
  <c r="N33" i="14"/>
  <c r="F52" i="17"/>
  <c r="F56" i="17" s="1"/>
  <c r="F60" i="17" s="1"/>
  <c r="N32" i="14"/>
  <c r="N27" i="13"/>
  <c r="N29" i="15"/>
  <c r="N30" i="16"/>
  <c r="AW221" i="5"/>
  <c r="AW222" i="5" s="1"/>
  <c r="CM221" i="5"/>
  <c r="CM222" i="5" s="1"/>
  <c r="CL221" i="5"/>
  <c r="CL222" i="5" s="1"/>
  <c r="N39" i="16"/>
  <c r="N25" i="12"/>
  <c r="N34" i="12"/>
  <c r="N26" i="13"/>
  <c r="N29" i="13"/>
  <c r="N30" i="14"/>
  <c r="N34" i="14"/>
  <c r="N21" i="15"/>
  <c r="N27" i="15"/>
  <c r="N20" i="13"/>
  <c r="N32" i="13"/>
  <c r="N24" i="14"/>
  <c r="N23" i="15"/>
  <c r="N21" i="12"/>
  <c r="N29" i="12"/>
  <c r="N23" i="14"/>
  <c r="N35" i="15"/>
  <c r="F52" i="16"/>
  <c r="F56" i="16" s="1"/>
  <c r="F60" i="16" s="1"/>
  <c r="CL218" i="5"/>
  <c r="CL219" i="5" s="1"/>
  <c r="AW218" i="5"/>
  <c r="AW219" i="5" s="1"/>
  <c r="CM218" i="5"/>
  <c r="CM219" i="5" s="1"/>
  <c r="AX209" i="5"/>
  <c r="AX210" i="5" s="1"/>
  <c r="CM216" i="5"/>
  <c r="CM217" i="5" s="1"/>
  <c r="I11" i="15" s="1"/>
  <c r="I39" i="15" s="1"/>
  <c r="AB39" i="15" s="1"/>
  <c r="AW216" i="5"/>
  <c r="AW217" i="5" s="1"/>
  <c r="CL216" i="5"/>
  <c r="CL217" i="5" s="1"/>
  <c r="G11" i="15" s="1"/>
  <c r="N39" i="15"/>
  <c r="N23" i="13"/>
  <c r="N26" i="14"/>
  <c r="N21" i="13"/>
  <c r="N25" i="13"/>
  <c r="N28" i="13"/>
  <c r="F52" i="15"/>
  <c r="F56" i="15" s="1"/>
  <c r="F60" i="15" s="1"/>
  <c r="N25" i="14"/>
  <c r="N35" i="14"/>
  <c r="N24" i="13"/>
  <c r="N21" i="14"/>
  <c r="N39" i="14"/>
  <c r="N30" i="13"/>
  <c r="N22" i="13"/>
  <c r="F52" i="14"/>
  <c r="F56" i="14" s="1"/>
  <c r="F60" i="14" s="1"/>
  <c r="N20" i="12"/>
  <c r="N28" i="12"/>
  <c r="N32" i="12"/>
  <c r="N35" i="13"/>
  <c r="CM214" i="5"/>
  <c r="CM215" i="5" s="1"/>
  <c r="CL214" i="5"/>
  <c r="CL215" i="5" s="1"/>
  <c r="AW214" i="5"/>
  <c r="AW215" i="5" s="1"/>
  <c r="CM209" i="5"/>
  <c r="CM210" i="5" s="1"/>
  <c r="I11" i="12" s="1"/>
  <c r="I39" i="12" s="1"/>
  <c r="AB39" i="12" s="1"/>
  <c r="N39" i="13"/>
  <c r="F67" i="13"/>
  <c r="N23" i="12"/>
  <c r="N22" i="12"/>
  <c r="N30" i="12"/>
  <c r="N24" i="12"/>
  <c r="N27" i="12"/>
  <c r="N33" i="12"/>
  <c r="N26" i="12"/>
  <c r="N35" i="12"/>
  <c r="AW211" i="5"/>
  <c r="AW212" i="5" s="1"/>
  <c r="CL209" i="5"/>
  <c r="CL210" i="5" s="1"/>
  <c r="E5" i="10" s="1"/>
  <c r="CM211" i="5"/>
  <c r="CM212" i="5" s="1"/>
  <c r="CL211" i="5"/>
  <c r="CL212" i="5" s="1"/>
  <c r="AT8" i="5"/>
  <c r="CE8" i="5" s="1"/>
  <c r="AT18" i="5"/>
  <c r="BV18" i="5" s="1"/>
  <c r="AT6" i="5"/>
  <c r="AU6" i="5" s="1"/>
  <c r="BN6" i="5" s="1"/>
  <c r="AT4" i="5"/>
  <c r="AV4" i="5" s="1"/>
  <c r="BC4" i="5" s="1"/>
  <c r="N39" i="12"/>
  <c r="F52" i="12"/>
  <c r="F56" i="12" s="1"/>
  <c r="F60" i="12" s="1"/>
  <c r="AX113" i="5"/>
  <c r="AX223" i="5" s="1"/>
  <c r="AX224" i="5" s="1"/>
  <c r="AT113" i="5"/>
  <c r="AX105" i="5"/>
  <c r="AT105" i="5"/>
  <c r="AX97" i="5"/>
  <c r="AT97" i="5"/>
  <c r="AT89" i="5"/>
  <c r="AX89" i="5"/>
  <c r="AX81" i="5"/>
  <c r="AT81" i="5"/>
  <c r="AX73" i="5"/>
  <c r="AT73" i="5"/>
  <c r="AX65" i="5"/>
  <c r="AT65" i="5"/>
  <c r="AX57" i="5"/>
  <c r="AT57" i="5"/>
  <c r="AX49" i="5"/>
  <c r="AT49" i="5"/>
  <c r="AX41" i="5"/>
  <c r="AT41" i="5"/>
  <c r="AX33" i="5"/>
  <c r="AX216" i="5" s="1"/>
  <c r="AX217" i="5" s="1"/>
  <c r="AT33" i="5"/>
  <c r="AT25" i="5"/>
  <c r="AX25" i="5"/>
  <c r="AX17" i="5"/>
  <c r="AT17" i="5"/>
  <c r="AX9" i="5"/>
  <c r="AX211" i="5" s="1"/>
  <c r="AX212" i="5" s="1"/>
  <c r="AT9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09" i="5"/>
  <c r="AT100" i="5"/>
  <c r="AT91" i="5"/>
  <c r="AT82" i="5"/>
  <c r="AT72" i="5"/>
  <c r="AT63" i="5"/>
  <c r="AT54" i="5"/>
  <c r="AT45" i="5"/>
  <c r="AT36" i="5"/>
  <c r="AT27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8" i="5"/>
  <c r="AT99" i="5"/>
  <c r="AT90" i="5"/>
  <c r="AT80" i="5"/>
  <c r="AT71" i="5"/>
  <c r="AT62" i="5"/>
  <c r="AT53" i="5"/>
  <c r="AT44" i="5"/>
  <c r="AT35" i="5"/>
  <c r="AT26" i="5"/>
  <c r="AT16" i="5"/>
  <c r="AT7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7" i="5"/>
  <c r="AT98" i="5"/>
  <c r="AT88" i="5"/>
  <c r="AT79" i="5"/>
  <c r="AT70" i="5"/>
  <c r="AT61" i="5"/>
  <c r="AT52" i="5"/>
  <c r="AT43" i="5"/>
  <c r="AT34" i="5"/>
  <c r="AT24" i="5"/>
  <c r="AT15" i="5"/>
  <c r="AT203" i="5"/>
  <c r="AT195" i="5"/>
  <c r="AT187" i="5"/>
  <c r="AT179" i="5"/>
  <c r="AT171" i="5"/>
  <c r="AT163" i="5"/>
  <c r="AT155" i="5"/>
  <c r="AT147" i="5"/>
  <c r="AT139" i="5"/>
  <c r="AT131" i="5"/>
  <c r="AT123" i="5"/>
  <c r="AT115" i="5"/>
  <c r="AT106" i="5"/>
  <c r="AT96" i="5"/>
  <c r="AT87" i="5"/>
  <c r="AT78" i="5"/>
  <c r="AT69" i="5"/>
  <c r="AT60" i="5"/>
  <c r="AT51" i="5"/>
  <c r="AT42" i="5"/>
  <c r="AT32" i="5"/>
  <c r="AT23" i="5"/>
  <c r="AT14" i="5"/>
  <c r="AT5" i="5"/>
  <c r="AT202" i="5"/>
  <c r="AT194" i="5"/>
  <c r="AT186" i="5"/>
  <c r="AT178" i="5"/>
  <c r="AT170" i="5"/>
  <c r="AT162" i="5"/>
  <c r="AT154" i="5"/>
  <c r="AT146" i="5"/>
  <c r="AT138" i="5"/>
  <c r="AT130" i="5"/>
  <c r="AT122" i="5"/>
  <c r="AT114" i="5"/>
  <c r="AT104" i="5"/>
  <c r="AT95" i="5"/>
  <c r="AT86" i="5"/>
  <c r="AT77" i="5"/>
  <c r="AT68" i="5"/>
  <c r="AT59" i="5"/>
  <c r="AT50" i="5"/>
  <c r="AT40" i="5"/>
  <c r="AT31" i="5"/>
  <c r="AT22" i="5"/>
  <c r="AT13" i="5"/>
  <c r="AW209" i="5"/>
  <c r="AW210" i="5" s="1"/>
  <c r="AT201" i="5"/>
  <c r="AT193" i="5"/>
  <c r="AT185" i="5"/>
  <c r="AT177" i="5"/>
  <c r="AT169" i="5"/>
  <c r="AT161" i="5"/>
  <c r="AT153" i="5"/>
  <c r="AT145" i="5"/>
  <c r="AT137" i="5"/>
  <c r="AT129" i="5"/>
  <c r="AT121" i="5"/>
  <c r="AT112" i="5"/>
  <c r="AT103" i="5"/>
  <c r="AT94" i="5"/>
  <c r="AT85" i="5"/>
  <c r="AT76" i="5"/>
  <c r="AT67" i="5"/>
  <c r="AT58" i="5"/>
  <c r="AT48" i="5"/>
  <c r="AT39" i="5"/>
  <c r="AT30" i="5"/>
  <c r="AT21" i="5"/>
  <c r="AT12" i="5"/>
  <c r="AT3" i="5"/>
  <c r="AT200" i="5"/>
  <c r="AT192" i="5"/>
  <c r="AT184" i="5"/>
  <c r="AT176" i="5"/>
  <c r="AT168" i="5"/>
  <c r="AT160" i="5"/>
  <c r="AT152" i="5"/>
  <c r="AT144" i="5"/>
  <c r="AT136" i="5"/>
  <c r="AT128" i="5"/>
  <c r="AT120" i="5"/>
  <c r="AT111" i="5"/>
  <c r="AT102" i="5"/>
  <c r="AT93" i="5"/>
  <c r="AT84" i="5"/>
  <c r="AT75" i="5"/>
  <c r="AT66" i="5"/>
  <c r="AT56" i="5"/>
  <c r="AT47" i="5"/>
  <c r="AT38" i="5"/>
  <c r="AT29" i="5"/>
  <c r="AT20" i="5"/>
  <c r="AT11" i="5"/>
  <c r="AT2" i="5"/>
  <c r="AT199" i="5"/>
  <c r="AT191" i="5"/>
  <c r="AT183" i="5"/>
  <c r="AT175" i="5"/>
  <c r="AT167" i="5"/>
  <c r="AT159" i="5"/>
  <c r="AT151" i="5"/>
  <c r="AT143" i="5"/>
  <c r="AT135" i="5"/>
  <c r="AT127" i="5"/>
  <c r="AT119" i="5"/>
  <c r="AT110" i="5"/>
  <c r="AT101" i="5"/>
  <c r="AT92" i="5"/>
  <c r="AT83" i="5"/>
  <c r="AT74" i="5"/>
  <c r="AT64" i="5"/>
  <c r="AT55" i="5"/>
  <c r="AT46" i="5"/>
  <c r="AT37" i="5"/>
  <c r="AT28" i="5"/>
  <c r="AT19" i="5"/>
  <c r="AT10" i="5"/>
  <c r="C12" i="7"/>
  <c r="C13" i="7"/>
  <c r="C14" i="7"/>
  <c r="E51" i="9"/>
  <c r="BA290" i="5" l="1"/>
  <c r="AU290" i="5"/>
  <c r="AV293" i="5"/>
  <c r="L41" i="28"/>
  <c r="AY293" i="5"/>
  <c r="BA293" i="5"/>
  <c r="AT293" i="5"/>
  <c r="AX293" i="5"/>
  <c r="AU293" i="5"/>
  <c r="AS277" i="5"/>
  <c r="AS271" i="5"/>
  <c r="AS272" i="5"/>
  <c r="AS273" i="5"/>
  <c r="AS270" i="5"/>
  <c r="AS266" i="5"/>
  <c r="AS267" i="5" s="1"/>
  <c r="AS275" i="5"/>
  <c r="AS276" i="5" s="1"/>
  <c r="AS281" i="5"/>
  <c r="AS280" i="5"/>
  <c r="AS268" i="5"/>
  <c r="AS269" i="5" s="1"/>
  <c r="AS278" i="5"/>
  <c r="AS283" i="5"/>
  <c r="AS284" i="5" s="1"/>
  <c r="AU269" i="5"/>
  <c r="AU274" i="5"/>
  <c r="AT274" i="5"/>
  <c r="AU282" i="5"/>
  <c r="AT290" i="5"/>
  <c r="AT282" i="5"/>
  <c r="AX290" i="5"/>
  <c r="AU279" i="5"/>
  <c r="AT279" i="5"/>
  <c r="AV290" i="5"/>
  <c r="AT269" i="5"/>
  <c r="I11" i="32"/>
  <c r="I39" i="32" s="1"/>
  <c r="AB39" i="32" s="1"/>
  <c r="G170" i="10"/>
  <c r="G11" i="32"/>
  <c r="E170" i="10"/>
  <c r="F75" i="32"/>
  <c r="F80" i="32" s="1"/>
  <c r="AT257" i="5"/>
  <c r="AT258" i="5" s="1"/>
  <c r="AS257" i="5"/>
  <c r="AS258" i="5" s="1"/>
  <c r="G11" i="31"/>
  <c r="E159" i="10"/>
  <c r="I11" i="31"/>
  <c r="I39" i="31" s="1"/>
  <c r="AB39" i="31" s="1"/>
  <c r="G159" i="10"/>
  <c r="F67" i="31"/>
  <c r="G11" i="30"/>
  <c r="AB11" i="30" s="1"/>
  <c r="AB45" i="30" s="1"/>
  <c r="N12" i="29"/>
  <c r="L13" i="29"/>
  <c r="L38" i="29"/>
  <c r="N38" i="29" s="1"/>
  <c r="J11" i="29"/>
  <c r="H136" i="10"/>
  <c r="AA39" i="29"/>
  <c r="AC39" i="29" s="1"/>
  <c r="J39" i="29"/>
  <c r="K139" i="10"/>
  <c r="D139" i="10"/>
  <c r="D142" i="10" s="1"/>
  <c r="N40" i="29"/>
  <c r="H137" i="10"/>
  <c r="G148" i="10"/>
  <c r="H148" i="10" s="1"/>
  <c r="AT253" i="5"/>
  <c r="AT254" i="5" s="1"/>
  <c r="AS253" i="5"/>
  <c r="AS254" i="5" s="1"/>
  <c r="AT255" i="5"/>
  <c r="AT256" i="5" s="1"/>
  <c r="AS255" i="5"/>
  <c r="AS256" i="5" s="1"/>
  <c r="G38" i="29"/>
  <c r="AA38" i="29" s="1"/>
  <c r="G13" i="29"/>
  <c r="AA10" i="29"/>
  <c r="M41" i="29"/>
  <c r="E139" i="10"/>
  <c r="F38" i="29"/>
  <c r="F41" i="29" s="1"/>
  <c r="F45" i="29" s="1"/>
  <c r="F13" i="29"/>
  <c r="F16" i="29" s="1"/>
  <c r="L139" i="10"/>
  <c r="G139" i="10"/>
  <c r="AA11" i="29"/>
  <c r="AB11" i="29"/>
  <c r="AB45" i="29" s="1"/>
  <c r="J10" i="29"/>
  <c r="I38" i="29"/>
  <c r="I13" i="29"/>
  <c r="AB10" i="29"/>
  <c r="J40" i="29"/>
  <c r="F139" i="10"/>
  <c r="H138" i="10"/>
  <c r="N10" i="29"/>
  <c r="F75" i="30"/>
  <c r="F80" i="30" s="1"/>
  <c r="M13" i="29"/>
  <c r="J12" i="29"/>
  <c r="F75" i="29"/>
  <c r="F80" i="29" s="1"/>
  <c r="BK6" i="5"/>
  <c r="CG6" i="5"/>
  <c r="J12" i="28"/>
  <c r="G128" i="10"/>
  <c r="F13" i="28"/>
  <c r="F16" i="28" s="1"/>
  <c r="F41" i="28"/>
  <c r="F43" i="28" s="1"/>
  <c r="AB45" i="28"/>
  <c r="H126" i="10"/>
  <c r="J11" i="28"/>
  <c r="BD6" i="5"/>
  <c r="I11" i="27"/>
  <c r="I39" i="27" s="1"/>
  <c r="AB39" i="27" s="1"/>
  <c r="M13" i="28"/>
  <c r="N12" i="28"/>
  <c r="N38" i="28"/>
  <c r="N40" i="28"/>
  <c r="M41" i="28"/>
  <c r="G11" i="27"/>
  <c r="AA11" i="27" s="1"/>
  <c r="L13" i="28"/>
  <c r="J10" i="28"/>
  <c r="AB10" i="28"/>
  <c r="I38" i="28"/>
  <c r="N10" i="28"/>
  <c r="G39" i="28"/>
  <c r="AA11" i="28"/>
  <c r="H40" i="28"/>
  <c r="H41" i="28" s="1"/>
  <c r="H13" i="28"/>
  <c r="E128" i="10"/>
  <c r="H125" i="10"/>
  <c r="I13" i="28"/>
  <c r="L125" i="10"/>
  <c r="L128" i="10" s="1"/>
  <c r="AA10" i="28"/>
  <c r="G13" i="28"/>
  <c r="G38" i="28"/>
  <c r="F75" i="28"/>
  <c r="F80" i="28" s="1"/>
  <c r="I11" i="26"/>
  <c r="I39" i="26" s="1"/>
  <c r="AB39" i="26" s="1"/>
  <c r="G104" i="10"/>
  <c r="AS245" i="5"/>
  <c r="AS246" i="5" s="1"/>
  <c r="AT245" i="5"/>
  <c r="AT246" i="5" s="1"/>
  <c r="AT247" i="5"/>
  <c r="AT248" i="5" s="1"/>
  <c r="AS247" i="5"/>
  <c r="AS248" i="5" s="1"/>
  <c r="H115" i="10"/>
  <c r="G11" i="26"/>
  <c r="E104" i="10"/>
  <c r="F75" i="27"/>
  <c r="F80" i="27" s="1"/>
  <c r="F67" i="26"/>
  <c r="I11" i="25"/>
  <c r="I39" i="25" s="1"/>
  <c r="AB39" i="25" s="1"/>
  <c r="G93" i="10"/>
  <c r="G11" i="25"/>
  <c r="E93" i="10"/>
  <c r="F67" i="25"/>
  <c r="AT242" i="5"/>
  <c r="AT243" i="5" s="1"/>
  <c r="AS242" i="5"/>
  <c r="AS243" i="5" s="1"/>
  <c r="CE18" i="5"/>
  <c r="BF4" i="5"/>
  <c r="BG6" i="5"/>
  <c r="BR6" i="5"/>
  <c r="BS6" i="5"/>
  <c r="CI18" i="5"/>
  <c r="CA4" i="5"/>
  <c r="CI4" i="5"/>
  <c r="BV4" i="5"/>
  <c r="AU4" i="5"/>
  <c r="BN4" i="5" s="1"/>
  <c r="BS4" i="5"/>
  <c r="BW4" i="5"/>
  <c r="AV8" i="5"/>
  <c r="BC8" i="5" s="1"/>
  <c r="CL228" i="5"/>
  <c r="G11" i="18" s="1"/>
  <c r="AW228" i="5"/>
  <c r="AX228" i="5"/>
  <c r="G82" i="10"/>
  <c r="CM228" i="5"/>
  <c r="G71" i="10" s="1"/>
  <c r="E82" i="10"/>
  <c r="AT229" i="5"/>
  <c r="AT230" i="5" s="1"/>
  <c r="AS229" i="5"/>
  <c r="AS230" i="5" s="1"/>
  <c r="G39" i="19"/>
  <c r="AB11" i="19"/>
  <c r="AB45" i="19" s="1"/>
  <c r="AA11" i="19"/>
  <c r="J11" i="19"/>
  <c r="F67" i="19"/>
  <c r="F75" i="18"/>
  <c r="F80" i="18" s="1"/>
  <c r="AT227" i="5"/>
  <c r="AS227" i="5"/>
  <c r="AT226" i="5"/>
  <c r="AS226" i="5"/>
  <c r="G11" i="17"/>
  <c r="E60" i="10"/>
  <c r="I11" i="17"/>
  <c r="I39" i="17" s="1"/>
  <c r="AB39" i="17" s="1"/>
  <c r="G60" i="10"/>
  <c r="AT223" i="5"/>
  <c r="AT224" i="5" s="1"/>
  <c r="AS223" i="5"/>
  <c r="AS224" i="5" s="1"/>
  <c r="F67" i="17"/>
  <c r="AV18" i="5"/>
  <c r="BC18" i="5" s="1"/>
  <c r="CF18" i="5"/>
  <c r="AU18" i="5"/>
  <c r="BB18" i="5" s="1"/>
  <c r="AX221" i="5"/>
  <c r="AX222" i="5" s="1"/>
  <c r="AT221" i="5"/>
  <c r="AT222" i="5" s="1"/>
  <c r="AS221" i="5"/>
  <c r="AS222" i="5" s="1"/>
  <c r="I11" i="16"/>
  <c r="I39" i="16" s="1"/>
  <c r="AB39" i="16" s="1"/>
  <c r="G49" i="10"/>
  <c r="G11" i="16"/>
  <c r="E49" i="10"/>
  <c r="F67" i="16"/>
  <c r="BK18" i="5"/>
  <c r="AX218" i="5"/>
  <c r="AX219" i="5" s="1"/>
  <c r="AT218" i="5"/>
  <c r="AT219" i="5" s="1"/>
  <c r="AS218" i="5"/>
  <c r="AS219" i="5" s="1"/>
  <c r="BF18" i="5"/>
  <c r="BY18" i="5"/>
  <c r="BH18" i="5"/>
  <c r="BV8" i="5"/>
  <c r="BM18" i="5"/>
  <c r="BY8" i="5"/>
  <c r="AY18" i="5"/>
  <c r="CF8" i="5"/>
  <c r="CA18" i="5"/>
  <c r="CD8" i="5"/>
  <c r="AX214" i="5"/>
  <c r="AX215" i="5" s="1"/>
  <c r="BW8" i="5"/>
  <c r="CC18" i="5"/>
  <c r="AZ18" i="5"/>
  <c r="CD18" i="5"/>
  <c r="BG18" i="5"/>
  <c r="CG18" i="5"/>
  <c r="BE18" i="5"/>
  <c r="BW18" i="5"/>
  <c r="BA18" i="5"/>
  <c r="BP18" i="5" s="1"/>
  <c r="BR18" i="5"/>
  <c r="CK18" i="5"/>
  <c r="J11" i="15"/>
  <c r="G38" i="10"/>
  <c r="E38" i="10"/>
  <c r="G11" i="14"/>
  <c r="E27" i="10"/>
  <c r="AT216" i="5"/>
  <c r="AT217" i="5" s="1"/>
  <c r="AS216" i="5"/>
  <c r="AS217" i="5" s="1"/>
  <c r="AB11" i="15"/>
  <c r="AB45" i="15" s="1"/>
  <c r="G39" i="15"/>
  <c r="AA11" i="15"/>
  <c r="I11" i="14"/>
  <c r="I39" i="14" s="1"/>
  <c r="AB39" i="14" s="1"/>
  <c r="G27" i="10"/>
  <c r="F67" i="15"/>
  <c r="F67" i="14"/>
  <c r="CA6" i="5"/>
  <c r="CF4" i="5"/>
  <c r="CC6" i="5"/>
  <c r="G5" i="10"/>
  <c r="H5" i="10" s="1"/>
  <c r="AZ4" i="5"/>
  <c r="AZ6" i="5"/>
  <c r="BE4" i="5"/>
  <c r="CG4" i="5"/>
  <c r="AU8" i="5"/>
  <c r="BB8" i="5" s="1"/>
  <c r="BQ4" i="5"/>
  <c r="AZ8" i="5"/>
  <c r="BT4" i="5"/>
  <c r="BI8" i="5"/>
  <c r="BU4" i="5"/>
  <c r="BE8" i="5"/>
  <c r="AY4" i="5"/>
  <c r="CD4" i="5"/>
  <c r="BH8" i="5"/>
  <c r="BK8" i="5"/>
  <c r="BM8" i="5"/>
  <c r="BU8" i="5"/>
  <c r="CK8" i="5"/>
  <c r="BM4" i="5"/>
  <c r="BJ4" i="5"/>
  <c r="BJ6" i="5"/>
  <c r="BJ8" i="5"/>
  <c r="BR8" i="5"/>
  <c r="BD4" i="5"/>
  <c r="CC4" i="5"/>
  <c r="AT214" i="5"/>
  <c r="AT215" i="5" s="1"/>
  <c r="AS214" i="5"/>
  <c r="AS215" i="5" s="1"/>
  <c r="BQ6" i="5"/>
  <c r="BQ18" i="5"/>
  <c r="BU18" i="5"/>
  <c r="BI4" i="5"/>
  <c r="BK4" i="5"/>
  <c r="CE4" i="5"/>
  <c r="BO4" i="5"/>
  <c r="AV6" i="5"/>
  <c r="BC6" i="5" s="1"/>
  <c r="BT6" i="5"/>
  <c r="BG8" i="5"/>
  <c r="BT8" i="5"/>
  <c r="CG8" i="5"/>
  <c r="G11" i="13"/>
  <c r="E16" i="10"/>
  <c r="I11" i="13"/>
  <c r="I39" i="13" s="1"/>
  <c r="AB39" i="13" s="1"/>
  <c r="G16" i="10"/>
  <c r="BF6" i="5"/>
  <c r="BF8" i="5"/>
  <c r="BD8" i="5"/>
  <c r="CC8" i="5"/>
  <c r="F75" i="13"/>
  <c r="F80" i="13" s="1"/>
  <c r="BH6" i="5"/>
  <c r="BW6" i="5"/>
  <c r="BD18" i="5"/>
  <c r="BS18" i="5"/>
  <c r="BT18" i="5"/>
  <c r="BA4" i="5"/>
  <c r="BP4" i="5" s="1"/>
  <c r="BY4" i="5"/>
  <c r="BA6" i="5"/>
  <c r="BP6" i="5" s="1"/>
  <c r="CB6" i="5" s="1"/>
  <c r="BV6" i="5"/>
  <c r="CD6" i="5"/>
  <c r="BA8" i="5"/>
  <c r="BP8" i="5" s="1"/>
  <c r="CA8" i="5"/>
  <c r="CI8" i="5"/>
  <c r="G11" i="12"/>
  <c r="G39" i="12" s="1"/>
  <c r="BG4" i="5"/>
  <c r="BH4" i="5"/>
  <c r="BR4" i="5"/>
  <c r="CK4" i="5"/>
  <c r="AY6" i="5"/>
  <c r="BM6" i="5"/>
  <c r="CK6" i="5"/>
  <c r="AY8" i="5"/>
  <c r="BQ8" i="5"/>
  <c r="BS8" i="5"/>
  <c r="BJ18" i="5"/>
  <c r="BI18" i="5"/>
  <c r="BB6" i="5"/>
  <c r="BZ6" i="5" s="1"/>
  <c r="BU6" i="5"/>
  <c r="BY6" i="5"/>
  <c r="CI6" i="5"/>
  <c r="BE6" i="5"/>
  <c r="BI6" i="5"/>
  <c r="CE6" i="5"/>
  <c r="CF6" i="5"/>
  <c r="AT211" i="5"/>
  <c r="AT212" i="5" s="1"/>
  <c r="AS211" i="5"/>
  <c r="AS212" i="5" s="1"/>
  <c r="F67" i="12"/>
  <c r="CK61" i="5"/>
  <c r="CF61" i="5"/>
  <c r="CI61" i="5"/>
  <c r="CD61" i="5"/>
  <c r="CE61" i="5"/>
  <c r="CA61" i="5"/>
  <c r="BW61" i="5"/>
  <c r="BV61" i="5"/>
  <c r="BS61" i="5"/>
  <c r="CC61" i="5"/>
  <c r="BT61" i="5"/>
  <c r="BY61" i="5"/>
  <c r="BR61" i="5"/>
  <c r="BU61" i="5"/>
  <c r="BE61" i="5"/>
  <c r="BM61" i="5"/>
  <c r="BQ61" i="5"/>
  <c r="BI61" i="5"/>
  <c r="BJ61" i="5"/>
  <c r="BK61" i="5"/>
  <c r="BF61" i="5"/>
  <c r="BH61" i="5"/>
  <c r="BG61" i="5"/>
  <c r="AZ61" i="5"/>
  <c r="BD61" i="5"/>
  <c r="AY61" i="5"/>
  <c r="BA61" i="5"/>
  <c r="BP61" i="5" s="1"/>
  <c r="AV61" i="5"/>
  <c r="BC61" i="5" s="1"/>
  <c r="AU61" i="5"/>
  <c r="BN61" i="5" s="1"/>
  <c r="CI196" i="5"/>
  <c r="CK196" i="5"/>
  <c r="CF196" i="5"/>
  <c r="CE196" i="5"/>
  <c r="CD196" i="5"/>
  <c r="CA196" i="5"/>
  <c r="CC196" i="5"/>
  <c r="BY196" i="5"/>
  <c r="BV196" i="5"/>
  <c r="BR196" i="5"/>
  <c r="BJ196" i="5"/>
  <c r="BU196" i="5"/>
  <c r="BK196" i="5"/>
  <c r="BW196" i="5"/>
  <c r="BQ196" i="5"/>
  <c r="BH196" i="5"/>
  <c r="BS196" i="5"/>
  <c r="BD196" i="5"/>
  <c r="BM196" i="5"/>
  <c r="BI196" i="5"/>
  <c r="BF196" i="5"/>
  <c r="BT196" i="5"/>
  <c r="BA196" i="5"/>
  <c r="BP196" i="5" s="1"/>
  <c r="BG196" i="5"/>
  <c r="BE196" i="5"/>
  <c r="AY196" i="5"/>
  <c r="AZ196" i="5"/>
  <c r="AU196" i="5"/>
  <c r="BB196" i="5" s="1"/>
  <c r="AV196" i="5"/>
  <c r="BO196" i="5" s="1"/>
  <c r="CK197" i="5"/>
  <c r="CI197" i="5"/>
  <c r="CF197" i="5"/>
  <c r="CD197" i="5"/>
  <c r="CE197" i="5"/>
  <c r="CC197" i="5"/>
  <c r="CA197" i="5"/>
  <c r="BW197" i="5"/>
  <c r="BS197" i="5"/>
  <c r="BT197" i="5"/>
  <c r="BQ197" i="5"/>
  <c r="BU197" i="5"/>
  <c r="BY197" i="5"/>
  <c r="BV197" i="5"/>
  <c r="BM197" i="5"/>
  <c r="BE197" i="5"/>
  <c r="BR197" i="5"/>
  <c r="BD197" i="5"/>
  <c r="BH197" i="5"/>
  <c r="BI197" i="5"/>
  <c r="BJ197" i="5"/>
  <c r="BK197" i="5"/>
  <c r="BG197" i="5"/>
  <c r="BF197" i="5"/>
  <c r="BA197" i="5"/>
  <c r="BP197" i="5" s="1"/>
  <c r="AZ197" i="5"/>
  <c r="AY197" i="5"/>
  <c r="AV197" i="5"/>
  <c r="BC197" i="5" s="1"/>
  <c r="AU197" i="5"/>
  <c r="BB197" i="5" s="1"/>
  <c r="CK45" i="5"/>
  <c r="CF45" i="5"/>
  <c r="CI45" i="5"/>
  <c r="CD45" i="5"/>
  <c r="CE45" i="5"/>
  <c r="CA45" i="5"/>
  <c r="BS45" i="5"/>
  <c r="BW45" i="5"/>
  <c r="BT45" i="5"/>
  <c r="BY45" i="5"/>
  <c r="CC45" i="5"/>
  <c r="BM45" i="5"/>
  <c r="BQ45" i="5"/>
  <c r="BE45" i="5"/>
  <c r="BJ45" i="5"/>
  <c r="BU45" i="5"/>
  <c r="BV45" i="5"/>
  <c r="BR45" i="5"/>
  <c r="BK45" i="5"/>
  <c r="BD45" i="5"/>
  <c r="BI45" i="5"/>
  <c r="BH45" i="5"/>
  <c r="BF45" i="5"/>
  <c r="BA45" i="5"/>
  <c r="BP45" i="5" s="1"/>
  <c r="AZ45" i="5"/>
  <c r="BG45" i="5"/>
  <c r="AY45" i="5"/>
  <c r="AV45" i="5"/>
  <c r="BC45" i="5" s="1"/>
  <c r="AU45" i="5"/>
  <c r="BN45" i="5" s="1"/>
  <c r="CI118" i="5"/>
  <c r="CF118" i="5"/>
  <c r="CK118" i="5"/>
  <c r="CD118" i="5"/>
  <c r="BV118" i="5"/>
  <c r="BQ118" i="5"/>
  <c r="CC118" i="5"/>
  <c r="BW118" i="5"/>
  <c r="BM118" i="5"/>
  <c r="BY118" i="5"/>
  <c r="BU118" i="5"/>
  <c r="CE118" i="5"/>
  <c r="BI118" i="5"/>
  <c r="BT118" i="5"/>
  <c r="BK118" i="5"/>
  <c r="BF118" i="5"/>
  <c r="CA118" i="5"/>
  <c r="AY118" i="5"/>
  <c r="BS118" i="5"/>
  <c r="BR118" i="5"/>
  <c r="BG118" i="5"/>
  <c r="BJ118" i="5"/>
  <c r="BH118" i="5"/>
  <c r="BE118" i="5"/>
  <c r="BA118" i="5"/>
  <c r="BP118" i="5" s="1"/>
  <c r="BD118" i="5"/>
  <c r="AZ118" i="5"/>
  <c r="AV118" i="5"/>
  <c r="BC118" i="5" s="1"/>
  <c r="AU118" i="5"/>
  <c r="BN118" i="5" s="1"/>
  <c r="CI182" i="5"/>
  <c r="CF182" i="5"/>
  <c r="CD182" i="5"/>
  <c r="CK182" i="5"/>
  <c r="CC182" i="5"/>
  <c r="CE182" i="5"/>
  <c r="BV182" i="5"/>
  <c r="BQ182" i="5"/>
  <c r="BM182" i="5"/>
  <c r="CA182" i="5"/>
  <c r="BY182" i="5"/>
  <c r="BU182" i="5"/>
  <c r="BI182" i="5"/>
  <c r="BW182" i="5"/>
  <c r="BR182" i="5"/>
  <c r="BK182" i="5"/>
  <c r="BF182" i="5"/>
  <c r="BT182" i="5"/>
  <c r="BS182" i="5"/>
  <c r="AY182" i="5"/>
  <c r="BG182" i="5"/>
  <c r="BH182" i="5"/>
  <c r="BJ182" i="5"/>
  <c r="BA182" i="5"/>
  <c r="BP182" i="5" s="1"/>
  <c r="BE182" i="5"/>
  <c r="AZ182" i="5"/>
  <c r="BD182" i="5"/>
  <c r="AV182" i="5"/>
  <c r="BC182" i="5" s="1"/>
  <c r="AU182" i="5"/>
  <c r="BB182" i="5" s="1"/>
  <c r="CK57" i="5"/>
  <c r="CE57" i="5"/>
  <c r="CC57" i="5"/>
  <c r="CI57" i="5"/>
  <c r="CA57" i="5"/>
  <c r="BY57" i="5"/>
  <c r="CF57" i="5"/>
  <c r="CD57" i="5"/>
  <c r="BW57" i="5"/>
  <c r="BR57" i="5"/>
  <c r="BK57" i="5"/>
  <c r="BU57" i="5"/>
  <c r="BM57" i="5"/>
  <c r="BV57" i="5"/>
  <c r="BS57" i="5"/>
  <c r="BJ57" i="5"/>
  <c r="BE57" i="5"/>
  <c r="BT57" i="5"/>
  <c r="BF57" i="5"/>
  <c r="BQ57" i="5"/>
  <c r="BH57" i="5"/>
  <c r="BG57" i="5"/>
  <c r="BI57" i="5"/>
  <c r="BD57" i="5"/>
  <c r="AY57" i="5"/>
  <c r="BA57" i="5"/>
  <c r="BP57" i="5" s="1"/>
  <c r="AZ57" i="5"/>
  <c r="AU57" i="5"/>
  <c r="BN57" i="5" s="1"/>
  <c r="AV57" i="5"/>
  <c r="BO57" i="5" s="1"/>
  <c r="CK69" i="5"/>
  <c r="CI69" i="5"/>
  <c r="CF69" i="5"/>
  <c r="CD69" i="5"/>
  <c r="CE69" i="5"/>
  <c r="CC69" i="5"/>
  <c r="CA69" i="5"/>
  <c r="BW69" i="5"/>
  <c r="BS69" i="5"/>
  <c r="BT69" i="5"/>
  <c r="BY69" i="5"/>
  <c r="BV69" i="5"/>
  <c r="BQ69" i="5"/>
  <c r="BU69" i="5"/>
  <c r="BM69" i="5"/>
  <c r="BE69" i="5"/>
  <c r="BR69" i="5"/>
  <c r="BD69" i="5"/>
  <c r="BH69" i="5"/>
  <c r="BI69" i="5"/>
  <c r="BJ69" i="5"/>
  <c r="BG69" i="5"/>
  <c r="BK69" i="5"/>
  <c r="BF69" i="5"/>
  <c r="BA69" i="5"/>
  <c r="BP69" i="5" s="1"/>
  <c r="AZ69" i="5"/>
  <c r="AY69" i="5"/>
  <c r="AV69" i="5"/>
  <c r="BC69" i="5" s="1"/>
  <c r="AU69" i="5"/>
  <c r="BN69" i="5" s="1"/>
  <c r="CI203" i="5"/>
  <c r="CE203" i="5"/>
  <c r="CF203" i="5"/>
  <c r="BY203" i="5"/>
  <c r="CD203" i="5"/>
  <c r="CK203" i="5"/>
  <c r="BQ203" i="5"/>
  <c r="BR203" i="5"/>
  <c r="CC203" i="5"/>
  <c r="BW203" i="5"/>
  <c r="BU203" i="5"/>
  <c r="CA203" i="5"/>
  <c r="BT203" i="5"/>
  <c r="BK203" i="5"/>
  <c r="BG203" i="5"/>
  <c r="BS203" i="5"/>
  <c r="AZ203" i="5"/>
  <c r="BV203" i="5"/>
  <c r="BM203" i="5"/>
  <c r="BI203" i="5"/>
  <c r="BH203" i="5"/>
  <c r="BJ203" i="5"/>
  <c r="BF203" i="5"/>
  <c r="BE203" i="5"/>
  <c r="BA203" i="5"/>
  <c r="BP203" i="5" s="1"/>
  <c r="BD203" i="5"/>
  <c r="AY203" i="5"/>
  <c r="AU203" i="5"/>
  <c r="BN203" i="5" s="1"/>
  <c r="AV203" i="5"/>
  <c r="BO203" i="5" s="1"/>
  <c r="CI52" i="5"/>
  <c r="CK52" i="5"/>
  <c r="CE52" i="5"/>
  <c r="CF52" i="5"/>
  <c r="CD52" i="5"/>
  <c r="CC52" i="5"/>
  <c r="BY52" i="5"/>
  <c r="BW52" i="5"/>
  <c r="BJ52" i="5"/>
  <c r="BS52" i="5"/>
  <c r="BK52" i="5"/>
  <c r="BR52" i="5"/>
  <c r="BQ52" i="5"/>
  <c r="BT52" i="5"/>
  <c r="BH52" i="5"/>
  <c r="BD52" i="5"/>
  <c r="BV52" i="5"/>
  <c r="CA52" i="5"/>
  <c r="BM52" i="5"/>
  <c r="BU52" i="5"/>
  <c r="BF52" i="5"/>
  <c r="BA52" i="5"/>
  <c r="BP52" i="5" s="1"/>
  <c r="BE52" i="5"/>
  <c r="BI52" i="5"/>
  <c r="AZ52" i="5"/>
  <c r="AY52" i="5"/>
  <c r="BG52" i="5"/>
  <c r="AV52" i="5"/>
  <c r="BC52" i="5" s="1"/>
  <c r="AU52" i="5"/>
  <c r="BN52" i="5" s="1"/>
  <c r="CG124" i="5"/>
  <c r="CJ124" i="5"/>
  <c r="CI124" i="5"/>
  <c r="CK124" i="5"/>
  <c r="CE124" i="5"/>
  <c r="CF124" i="5"/>
  <c r="CH124" i="5"/>
  <c r="BX124" i="5"/>
  <c r="CC124" i="5"/>
  <c r="BY124" i="5"/>
  <c r="CD124" i="5"/>
  <c r="CA124" i="5"/>
  <c r="BZ124" i="5"/>
  <c r="BJ124" i="5"/>
  <c r="BL124" i="5"/>
  <c r="BK124" i="5"/>
  <c r="BM124" i="5"/>
  <c r="BQ124" i="5"/>
  <c r="BW124" i="5"/>
  <c r="BV124" i="5"/>
  <c r="BU124" i="5"/>
  <c r="BH124" i="5"/>
  <c r="BI124" i="5"/>
  <c r="BD124" i="5"/>
  <c r="BR124" i="5"/>
  <c r="BG124" i="5"/>
  <c r="BT124" i="5"/>
  <c r="BS124" i="5"/>
  <c r="BE124" i="5"/>
  <c r="BA124" i="5"/>
  <c r="BP124" i="5" s="1"/>
  <c r="AZ124" i="5"/>
  <c r="BF124" i="5"/>
  <c r="AY124" i="5"/>
  <c r="AV124" i="5"/>
  <c r="BC124" i="5" s="1"/>
  <c r="AU124" i="5"/>
  <c r="BN124" i="5" s="1"/>
  <c r="CK53" i="5"/>
  <c r="CF53" i="5"/>
  <c r="CI53" i="5"/>
  <c r="CD53" i="5"/>
  <c r="CC53" i="5"/>
  <c r="CA53" i="5"/>
  <c r="BY53" i="5"/>
  <c r="BW53" i="5"/>
  <c r="CE53" i="5"/>
  <c r="BS53" i="5"/>
  <c r="BT53" i="5"/>
  <c r="BU53" i="5"/>
  <c r="BE53" i="5"/>
  <c r="BQ53" i="5"/>
  <c r="BV53" i="5"/>
  <c r="BR53" i="5"/>
  <c r="BI53" i="5"/>
  <c r="BD53" i="5"/>
  <c r="BM53" i="5"/>
  <c r="BJ53" i="5"/>
  <c r="BG53" i="5"/>
  <c r="BK53" i="5"/>
  <c r="BH53" i="5"/>
  <c r="BA53" i="5"/>
  <c r="BP53" i="5" s="1"/>
  <c r="AZ53" i="5"/>
  <c r="BF53" i="5"/>
  <c r="AY53" i="5"/>
  <c r="AV53" i="5"/>
  <c r="BC53" i="5" s="1"/>
  <c r="AU53" i="5"/>
  <c r="BB53" i="5" s="1"/>
  <c r="CK125" i="5"/>
  <c r="CF125" i="5"/>
  <c r="CI125" i="5"/>
  <c r="CD125" i="5"/>
  <c r="CE125" i="5"/>
  <c r="CC125" i="5"/>
  <c r="CA125" i="5"/>
  <c r="BW125" i="5"/>
  <c r="BV125" i="5"/>
  <c r="BS125" i="5"/>
  <c r="BT125" i="5"/>
  <c r="BY125" i="5"/>
  <c r="BR125" i="5"/>
  <c r="BU125" i="5"/>
  <c r="BE125" i="5"/>
  <c r="BQ125" i="5"/>
  <c r="BI125" i="5"/>
  <c r="BM125" i="5"/>
  <c r="BH125" i="5"/>
  <c r="BG125" i="5"/>
  <c r="BJ125" i="5"/>
  <c r="BK125" i="5"/>
  <c r="BF125" i="5"/>
  <c r="AZ125" i="5"/>
  <c r="AY125" i="5"/>
  <c r="BD125" i="5"/>
  <c r="BA125" i="5"/>
  <c r="BP125" i="5" s="1"/>
  <c r="AV125" i="5"/>
  <c r="BC125" i="5" s="1"/>
  <c r="AU125" i="5"/>
  <c r="BB125" i="5" s="1"/>
  <c r="CK189" i="5"/>
  <c r="CF189" i="5"/>
  <c r="CI189" i="5"/>
  <c r="CD189" i="5"/>
  <c r="CE189" i="5"/>
  <c r="CC189" i="5"/>
  <c r="CA189" i="5"/>
  <c r="BW189" i="5"/>
  <c r="BS189" i="5"/>
  <c r="BT189" i="5"/>
  <c r="BR189" i="5"/>
  <c r="BV189" i="5"/>
  <c r="BU189" i="5"/>
  <c r="BE189" i="5"/>
  <c r="BY189" i="5"/>
  <c r="BM189" i="5"/>
  <c r="BQ189" i="5"/>
  <c r="BI189" i="5"/>
  <c r="BK189" i="5"/>
  <c r="BF189" i="5"/>
  <c r="BH189" i="5"/>
  <c r="BJ189" i="5"/>
  <c r="BG189" i="5"/>
  <c r="AZ189" i="5"/>
  <c r="AY189" i="5"/>
  <c r="BD189" i="5"/>
  <c r="BA189" i="5"/>
  <c r="BP189" i="5" s="1"/>
  <c r="AV189" i="5"/>
  <c r="BC189" i="5" s="1"/>
  <c r="AU189" i="5"/>
  <c r="BN189" i="5" s="1"/>
  <c r="CI36" i="5"/>
  <c r="CK36" i="5"/>
  <c r="CF36" i="5"/>
  <c r="CE36" i="5"/>
  <c r="CC36" i="5"/>
  <c r="CA36" i="5"/>
  <c r="BY36" i="5"/>
  <c r="CD36" i="5"/>
  <c r="BR36" i="5"/>
  <c r="BJ36" i="5"/>
  <c r="BU36" i="5"/>
  <c r="BK36" i="5"/>
  <c r="BM36" i="5"/>
  <c r="BS36" i="5"/>
  <c r="BH36" i="5"/>
  <c r="BW36" i="5"/>
  <c r="BV36" i="5"/>
  <c r="BD36" i="5"/>
  <c r="BT36" i="5"/>
  <c r="BF36" i="5"/>
  <c r="BQ36" i="5"/>
  <c r="BA36" i="5"/>
  <c r="BE36" i="5"/>
  <c r="BG36" i="5"/>
  <c r="BI36" i="5"/>
  <c r="AY36" i="5"/>
  <c r="AZ36" i="5"/>
  <c r="AV36" i="5"/>
  <c r="AU36" i="5"/>
  <c r="CK109" i="5"/>
  <c r="CG109" i="5"/>
  <c r="CF109" i="5"/>
  <c r="CI109" i="5"/>
  <c r="CJ109" i="5"/>
  <c r="CD109" i="5"/>
  <c r="CC109" i="5"/>
  <c r="BZ109" i="5"/>
  <c r="CA109" i="5"/>
  <c r="CE109" i="5"/>
  <c r="BW109" i="5"/>
  <c r="CH109" i="5"/>
  <c r="BY109" i="5"/>
  <c r="BS109" i="5"/>
  <c r="BT109" i="5"/>
  <c r="BL109" i="5"/>
  <c r="BX109" i="5"/>
  <c r="BQ109" i="5"/>
  <c r="BE109" i="5"/>
  <c r="BU109" i="5"/>
  <c r="BR109" i="5"/>
  <c r="BK109" i="5"/>
  <c r="BV109" i="5"/>
  <c r="BM109" i="5"/>
  <c r="BJ109" i="5"/>
  <c r="BI109" i="5"/>
  <c r="BD109" i="5"/>
  <c r="BH109" i="5"/>
  <c r="BA109" i="5"/>
  <c r="BF109" i="5"/>
  <c r="AZ109" i="5"/>
  <c r="BG109" i="5"/>
  <c r="AY109" i="5"/>
  <c r="AV109" i="5"/>
  <c r="AU109" i="5"/>
  <c r="CE174" i="5"/>
  <c r="CK174" i="5"/>
  <c r="CF174" i="5"/>
  <c r="CD174" i="5"/>
  <c r="CC174" i="5"/>
  <c r="BY174" i="5"/>
  <c r="BW174" i="5"/>
  <c r="BQ174" i="5"/>
  <c r="BR174" i="5"/>
  <c r="BM174" i="5"/>
  <c r="CA174" i="5"/>
  <c r="BV174" i="5"/>
  <c r="BU174" i="5"/>
  <c r="CI174" i="5"/>
  <c r="BJ174" i="5"/>
  <c r="BF174" i="5"/>
  <c r="AY174" i="5"/>
  <c r="BT174" i="5"/>
  <c r="BS174" i="5"/>
  <c r="BI174" i="5"/>
  <c r="BH174" i="5"/>
  <c r="BK174" i="5"/>
  <c r="BG174" i="5"/>
  <c r="BE174" i="5"/>
  <c r="BD174" i="5"/>
  <c r="BA174" i="5"/>
  <c r="BP174" i="5" s="1"/>
  <c r="AZ174" i="5"/>
  <c r="AV174" i="5"/>
  <c r="BO174" i="5" s="1"/>
  <c r="AU174" i="5"/>
  <c r="BN174" i="5" s="1"/>
  <c r="CF46" i="5"/>
  <c r="CK46" i="5"/>
  <c r="CE46" i="5"/>
  <c r="CC46" i="5"/>
  <c r="CD46" i="5"/>
  <c r="CI46" i="5"/>
  <c r="BY46" i="5"/>
  <c r="BQ46" i="5"/>
  <c r="CA46" i="5"/>
  <c r="BW46" i="5"/>
  <c r="BR46" i="5"/>
  <c r="BV46" i="5"/>
  <c r="BU46" i="5"/>
  <c r="BJ46" i="5"/>
  <c r="BS46" i="5"/>
  <c r="BF46" i="5"/>
  <c r="AY46" i="5"/>
  <c r="BM46" i="5"/>
  <c r="BT46" i="5"/>
  <c r="BI46" i="5"/>
  <c r="BH46" i="5"/>
  <c r="BK46" i="5"/>
  <c r="BE46" i="5"/>
  <c r="BG46" i="5"/>
  <c r="BA46" i="5"/>
  <c r="BP46" i="5" s="1"/>
  <c r="AZ46" i="5"/>
  <c r="BD46" i="5"/>
  <c r="AV46" i="5"/>
  <c r="BO46" i="5" s="1"/>
  <c r="AU46" i="5"/>
  <c r="BN46" i="5" s="1"/>
  <c r="CI119" i="5"/>
  <c r="CK119" i="5"/>
  <c r="CE119" i="5"/>
  <c r="CD119" i="5"/>
  <c r="CF119" i="5"/>
  <c r="CC119" i="5"/>
  <c r="CA119" i="5"/>
  <c r="BU119" i="5"/>
  <c r="BY119" i="5"/>
  <c r="BQ119" i="5"/>
  <c r="BI119" i="5"/>
  <c r="BT119" i="5"/>
  <c r="BJ119" i="5"/>
  <c r="BW119" i="5"/>
  <c r="BM119" i="5"/>
  <c r="BG119" i="5"/>
  <c r="BV119" i="5"/>
  <c r="BE119" i="5"/>
  <c r="BS119" i="5"/>
  <c r="BR119" i="5"/>
  <c r="AZ119" i="5"/>
  <c r="BK119" i="5"/>
  <c r="BF119" i="5"/>
  <c r="BH119" i="5"/>
  <c r="BA119" i="5"/>
  <c r="BP119" i="5" s="1"/>
  <c r="BD119" i="5"/>
  <c r="AY119" i="5"/>
  <c r="AV119" i="5"/>
  <c r="BO119" i="5" s="1"/>
  <c r="AU119" i="5"/>
  <c r="BB119" i="5" s="1"/>
  <c r="CI183" i="5"/>
  <c r="CK183" i="5"/>
  <c r="CJ183" i="5"/>
  <c r="CH183" i="5"/>
  <c r="CG183" i="5"/>
  <c r="CE183" i="5"/>
  <c r="CD183" i="5"/>
  <c r="BX183" i="5"/>
  <c r="BZ183" i="5"/>
  <c r="BU183" i="5"/>
  <c r="CC183" i="5"/>
  <c r="CF183" i="5"/>
  <c r="CA183" i="5"/>
  <c r="BV183" i="5"/>
  <c r="BQ183" i="5"/>
  <c r="BI183" i="5"/>
  <c r="BT183" i="5"/>
  <c r="BJ183" i="5"/>
  <c r="BM183" i="5"/>
  <c r="BG183" i="5"/>
  <c r="BY183" i="5"/>
  <c r="BS183" i="5"/>
  <c r="BR183" i="5"/>
  <c r="BE183" i="5"/>
  <c r="BW183" i="5"/>
  <c r="AZ183" i="5"/>
  <c r="BH183" i="5"/>
  <c r="BK183" i="5"/>
  <c r="BL183" i="5"/>
  <c r="BF183" i="5"/>
  <c r="BA183" i="5"/>
  <c r="BP183" i="5" s="1"/>
  <c r="BD183" i="5"/>
  <c r="AY183" i="5"/>
  <c r="AV183" i="5"/>
  <c r="BO183" i="5" s="1"/>
  <c r="AU183" i="5"/>
  <c r="BB183" i="5" s="1"/>
  <c r="CF38" i="5"/>
  <c r="CK38" i="5"/>
  <c r="CE38" i="5"/>
  <c r="CD38" i="5"/>
  <c r="BW38" i="5"/>
  <c r="CI38" i="5"/>
  <c r="BY38" i="5"/>
  <c r="CC38" i="5"/>
  <c r="BQ38" i="5"/>
  <c r="CA38" i="5"/>
  <c r="BS38" i="5"/>
  <c r="BM38" i="5"/>
  <c r="BK38" i="5"/>
  <c r="BU38" i="5"/>
  <c r="BI38" i="5"/>
  <c r="BF38" i="5"/>
  <c r="BT38" i="5"/>
  <c r="BG38" i="5"/>
  <c r="AY38" i="5"/>
  <c r="BV38" i="5"/>
  <c r="BR38" i="5"/>
  <c r="BJ38" i="5"/>
  <c r="BE38" i="5"/>
  <c r="BD38" i="5"/>
  <c r="BH38" i="5"/>
  <c r="AZ38" i="5"/>
  <c r="BA38" i="5"/>
  <c r="BP38" i="5" s="1"/>
  <c r="AV38" i="5"/>
  <c r="BC38" i="5" s="1"/>
  <c r="AU38" i="5"/>
  <c r="BN38" i="5" s="1"/>
  <c r="CI111" i="5"/>
  <c r="CK111" i="5"/>
  <c r="CE111" i="5"/>
  <c r="CF111" i="5"/>
  <c r="CD111" i="5"/>
  <c r="CA111" i="5"/>
  <c r="CC111" i="5"/>
  <c r="BU111" i="5"/>
  <c r="BY111" i="5"/>
  <c r="BV111" i="5"/>
  <c r="BI111" i="5"/>
  <c r="BJ111" i="5"/>
  <c r="BW111" i="5"/>
  <c r="BS111" i="5"/>
  <c r="BG111" i="5"/>
  <c r="BQ111" i="5"/>
  <c r="BT111" i="5"/>
  <c r="BF111" i="5"/>
  <c r="BR111" i="5"/>
  <c r="BM111" i="5"/>
  <c r="BD111" i="5"/>
  <c r="AZ111" i="5"/>
  <c r="BK111" i="5"/>
  <c r="BH111" i="5"/>
  <c r="BE111" i="5"/>
  <c r="AY111" i="5"/>
  <c r="BA111" i="5"/>
  <c r="BP111" i="5" s="1"/>
  <c r="AU111" i="5"/>
  <c r="BN111" i="5" s="1"/>
  <c r="AV111" i="5"/>
  <c r="BO111" i="5" s="1"/>
  <c r="CI176" i="5"/>
  <c r="CK176" i="5"/>
  <c r="CE176" i="5"/>
  <c r="CF176" i="5"/>
  <c r="CH176" i="5"/>
  <c r="CD176" i="5"/>
  <c r="BY176" i="5"/>
  <c r="BZ176" i="5"/>
  <c r="CC176" i="5"/>
  <c r="BV176" i="5"/>
  <c r="BW176" i="5"/>
  <c r="CJ176" i="5"/>
  <c r="CG176" i="5"/>
  <c r="CA176" i="5"/>
  <c r="BR176" i="5"/>
  <c r="BS176" i="5"/>
  <c r="BL176" i="5"/>
  <c r="BQ176" i="5"/>
  <c r="BT176" i="5"/>
  <c r="BU176" i="5"/>
  <c r="BK176" i="5"/>
  <c r="BD176" i="5"/>
  <c r="BM176" i="5"/>
  <c r="BH176" i="5"/>
  <c r="BX176" i="5"/>
  <c r="BA176" i="5"/>
  <c r="BP176" i="5" s="1"/>
  <c r="BI176" i="5"/>
  <c r="BG176" i="5"/>
  <c r="BJ176" i="5"/>
  <c r="BF176" i="5"/>
  <c r="BE176" i="5"/>
  <c r="AZ176" i="5"/>
  <c r="AY176" i="5"/>
  <c r="AU176" i="5"/>
  <c r="BB176" i="5" s="1"/>
  <c r="AV176" i="5"/>
  <c r="BC176" i="5" s="1"/>
  <c r="CI39" i="5"/>
  <c r="CK39" i="5"/>
  <c r="CE39" i="5"/>
  <c r="CC39" i="5"/>
  <c r="BV39" i="5"/>
  <c r="BU39" i="5"/>
  <c r="BM39" i="5"/>
  <c r="CD39" i="5"/>
  <c r="CF39" i="5"/>
  <c r="BI39" i="5"/>
  <c r="CA39" i="5"/>
  <c r="BR39" i="5"/>
  <c r="BJ39" i="5"/>
  <c r="BQ39" i="5"/>
  <c r="BW39" i="5"/>
  <c r="BY39" i="5"/>
  <c r="BG39" i="5"/>
  <c r="BT39" i="5"/>
  <c r="BS39" i="5"/>
  <c r="BE39" i="5"/>
  <c r="AZ39" i="5"/>
  <c r="BH39" i="5"/>
  <c r="BK39" i="5"/>
  <c r="BF39" i="5"/>
  <c r="BD39" i="5"/>
  <c r="BA39" i="5"/>
  <c r="BP39" i="5" s="1"/>
  <c r="AY39" i="5"/>
  <c r="AU39" i="5"/>
  <c r="BB39" i="5" s="1"/>
  <c r="AV39" i="5"/>
  <c r="BC39" i="5" s="1"/>
  <c r="CI112" i="5"/>
  <c r="CK112" i="5"/>
  <c r="CE112" i="5"/>
  <c r="CF112" i="5"/>
  <c r="CD112" i="5"/>
  <c r="BY112" i="5"/>
  <c r="BV112" i="5"/>
  <c r="BW112" i="5"/>
  <c r="BR112" i="5"/>
  <c r="CC112" i="5"/>
  <c r="CA112" i="5"/>
  <c r="BS112" i="5"/>
  <c r="BQ112" i="5"/>
  <c r="BU112" i="5"/>
  <c r="BT112" i="5"/>
  <c r="BM112" i="5"/>
  <c r="BK112" i="5"/>
  <c r="BD112" i="5"/>
  <c r="BH112" i="5"/>
  <c r="BA112" i="5"/>
  <c r="BP112" i="5" s="1"/>
  <c r="BE112" i="5"/>
  <c r="BG112" i="5"/>
  <c r="BI112" i="5"/>
  <c r="BJ112" i="5"/>
  <c r="BF112" i="5"/>
  <c r="AZ112" i="5"/>
  <c r="AY112" i="5"/>
  <c r="AU112" i="5"/>
  <c r="BN112" i="5" s="1"/>
  <c r="AV112" i="5"/>
  <c r="BO112" i="5" s="1"/>
  <c r="CG177" i="5"/>
  <c r="CK177" i="5"/>
  <c r="CJ177" i="5"/>
  <c r="CF177" i="5"/>
  <c r="CI177" i="5"/>
  <c r="CD177" i="5"/>
  <c r="BX177" i="5"/>
  <c r="CE177" i="5"/>
  <c r="BZ177" i="5"/>
  <c r="CC177" i="5"/>
  <c r="CH177" i="5"/>
  <c r="CA177" i="5"/>
  <c r="BS177" i="5"/>
  <c r="BK177" i="5"/>
  <c r="BM177" i="5"/>
  <c r="BW177" i="5"/>
  <c r="BQ177" i="5"/>
  <c r="BY177" i="5"/>
  <c r="BI177" i="5"/>
  <c r="BE177" i="5"/>
  <c r="BR177" i="5"/>
  <c r="BL177" i="5"/>
  <c r="BG177" i="5"/>
  <c r="BV177" i="5"/>
  <c r="BU177" i="5"/>
  <c r="BT177" i="5"/>
  <c r="BJ177" i="5"/>
  <c r="BF177" i="5"/>
  <c r="BH177" i="5"/>
  <c r="AZ177" i="5"/>
  <c r="BD177" i="5"/>
  <c r="BA177" i="5"/>
  <c r="AY177" i="5"/>
  <c r="AU177" i="5"/>
  <c r="AV177" i="5"/>
  <c r="CK13" i="5"/>
  <c r="CF13" i="5"/>
  <c r="CI13" i="5"/>
  <c r="CD13" i="5"/>
  <c r="CA13" i="5"/>
  <c r="BW13" i="5"/>
  <c r="BS13" i="5"/>
  <c r="CE13" i="5"/>
  <c r="CC13" i="5"/>
  <c r="BT13" i="5"/>
  <c r="BY13" i="5"/>
  <c r="BV13" i="5"/>
  <c r="BM13" i="5"/>
  <c r="BH13" i="5"/>
  <c r="BE13" i="5"/>
  <c r="BU13" i="5"/>
  <c r="BR13" i="5"/>
  <c r="BQ13" i="5"/>
  <c r="BF13" i="5"/>
  <c r="BI13" i="5"/>
  <c r="BG13" i="5"/>
  <c r="BJ13" i="5"/>
  <c r="BK13" i="5"/>
  <c r="BA13" i="5"/>
  <c r="BP13" i="5" s="1"/>
  <c r="AZ13" i="5"/>
  <c r="BD13" i="5"/>
  <c r="AY13" i="5"/>
  <c r="AU13" i="5"/>
  <c r="BN13" i="5" s="1"/>
  <c r="AV13" i="5"/>
  <c r="BC13" i="5" s="1"/>
  <c r="CI86" i="5"/>
  <c r="CF86" i="5"/>
  <c r="CC86" i="5"/>
  <c r="CE86" i="5"/>
  <c r="CK86" i="5"/>
  <c r="BY86" i="5"/>
  <c r="BV86" i="5"/>
  <c r="BQ86" i="5"/>
  <c r="BM86" i="5"/>
  <c r="CA86" i="5"/>
  <c r="CD86" i="5"/>
  <c r="BS86" i="5"/>
  <c r="BR86" i="5"/>
  <c r="BU86" i="5"/>
  <c r="BI86" i="5"/>
  <c r="BW86" i="5"/>
  <c r="BK86" i="5"/>
  <c r="BF86" i="5"/>
  <c r="BT86" i="5"/>
  <c r="AY86" i="5"/>
  <c r="BG86" i="5"/>
  <c r="BH86" i="5"/>
  <c r="BJ86" i="5"/>
  <c r="BE86" i="5"/>
  <c r="BD86" i="5"/>
  <c r="BA86" i="5"/>
  <c r="BP86" i="5" s="1"/>
  <c r="AZ86" i="5"/>
  <c r="AV86" i="5"/>
  <c r="BO86" i="5" s="1"/>
  <c r="AU86" i="5"/>
  <c r="BB86" i="5" s="1"/>
  <c r="CI154" i="5"/>
  <c r="CK154" i="5"/>
  <c r="CC154" i="5"/>
  <c r="CD154" i="5"/>
  <c r="CA154" i="5"/>
  <c r="CF154" i="5"/>
  <c r="BT154" i="5"/>
  <c r="CE154" i="5"/>
  <c r="BU154" i="5"/>
  <c r="BV154" i="5"/>
  <c r="BQ154" i="5"/>
  <c r="BI154" i="5"/>
  <c r="BW154" i="5"/>
  <c r="BR154" i="5"/>
  <c r="BF154" i="5"/>
  <c r="BY154" i="5"/>
  <c r="BS154" i="5"/>
  <c r="BD154" i="5"/>
  <c r="AY154" i="5"/>
  <c r="BJ154" i="5"/>
  <c r="BH154" i="5"/>
  <c r="BK154" i="5"/>
  <c r="BM154" i="5"/>
  <c r="BG154" i="5"/>
  <c r="BE154" i="5"/>
  <c r="BA154" i="5"/>
  <c r="BP154" i="5" s="1"/>
  <c r="AZ154" i="5"/>
  <c r="AV154" i="5"/>
  <c r="BC154" i="5" s="1"/>
  <c r="AU154" i="5"/>
  <c r="BB154" i="5" s="1"/>
  <c r="CK5" i="5"/>
  <c r="CH5" i="5"/>
  <c r="CJ5" i="5"/>
  <c r="CF5" i="5"/>
  <c r="CI5" i="5"/>
  <c r="CG5" i="5"/>
  <c r="CD5" i="5"/>
  <c r="CE5" i="5"/>
  <c r="BZ5" i="5"/>
  <c r="BX5" i="5"/>
  <c r="CA5" i="5"/>
  <c r="BW5" i="5"/>
  <c r="BS5" i="5"/>
  <c r="CC5" i="5"/>
  <c r="BT5" i="5"/>
  <c r="BY5" i="5"/>
  <c r="BQ5" i="5"/>
  <c r="BH5" i="5"/>
  <c r="BU5" i="5"/>
  <c r="BE5" i="5"/>
  <c r="BL5" i="5"/>
  <c r="BV5" i="5"/>
  <c r="BR5" i="5"/>
  <c r="BM5" i="5"/>
  <c r="BD5" i="5"/>
  <c r="BI5" i="5"/>
  <c r="BG5" i="5"/>
  <c r="BJ5" i="5"/>
  <c r="BK5" i="5"/>
  <c r="BF5" i="5"/>
  <c r="BA5" i="5"/>
  <c r="BP5" i="5" s="1"/>
  <c r="AZ5" i="5"/>
  <c r="AY5" i="5"/>
  <c r="AV5" i="5"/>
  <c r="BC5" i="5" s="1"/>
  <c r="AU5" i="5"/>
  <c r="BN5" i="5" s="1"/>
  <c r="CC78" i="5"/>
  <c r="CF78" i="5"/>
  <c r="CK78" i="5"/>
  <c r="CG78" i="5"/>
  <c r="CI78" i="5"/>
  <c r="BY78" i="5"/>
  <c r="CE78" i="5"/>
  <c r="CD78" i="5"/>
  <c r="CA78" i="5"/>
  <c r="BW78" i="5"/>
  <c r="BQ78" i="5"/>
  <c r="BR78" i="5"/>
  <c r="BM78" i="5"/>
  <c r="BU78" i="5"/>
  <c r="BT78" i="5"/>
  <c r="BS78" i="5"/>
  <c r="BJ78" i="5"/>
  <c r="BF78" i="5"/>
  <c r="AY78" i="5"/>
  <c r="BV78" i="5"/>
  <c r="BH78" i="5"/>
  <c r="BG78" i="5"/>
  <c r="BK78" i="5"/>
  <c r="BD78" i="5"/>
  <c r="BI78" i="5"/>
  <c r="BE78" i="5"/>
  <c r="BA78" i="5"/>
  <c r="BP78" i="5" s="1"/>
  <c r="AZ78" i="5"/>
  <c r="AV78" i="5"/>
  <c r="BO78" i="5" s="1"/>
  <c r="AU78" i="5"/>
  <c r="BN78" i="5" s="1"/>
  <c r="CI147" i="5"/>
  <c r="CK147" i="5"/>
  <c r="CE147" i="5"/>
  <c r="CF147" i="5"/>
  <c r="BY147" i="5"/>
  <c r="CC147" i="5"/>
  <c r="CD147" i="5"/>
  <c r="CA147" i="5"/>
  <c r="BV147" i="5"/>
  <c r="BQ147" i="5"/>
  <c r="BR147" i="5"/>
  <c r="BT147" i="5"/>
  <c r="BW147" i="5"/>
  <c r="BU147" i="5"/>
  <c r="BJ147" i="5"/>
  <c r="BG147" i="5"/>
  <c r="BH147" i="5"/>
  <c r="AZ147" i="5"/>
  <c r="BM147" i="5"/>
  <c r="BS147" i="5"/>
  <c r="BI147" i="5"/>
  <c r="BF147" i="5"/>
  <c r="BK147" i="5"/>
  <c r="BA147" i="5"/>
  <c r="BP147" i="5" s="1"/>
  <c r="BE147" i="5"/>
  <c r="AY147" i="5"/>
  <c r="BD147" i="5"/>
  <c r="AU147" i="5"/>
  <c r="BN147" i="5" s="1"/>
  <c r="AV147" i="5"/>
  <c r="BC147" i="5" s="1"/>
  <c r="CI132" i="5"/>
  <c r="CK132" i="5"/>
  <c r="CE132" i="5"/>
  <c r="CF132" i="5"/>
  <c r="CA132" i="5"/>
  <c r="BY132" i="5"/>
  <c r="CC132" i="5"/>
  <c r="CD132" i="5"/>
  <c r="BW132" i="5"/>
  <c r="BR132" i="5"/>
  <c r="BJ132" i="5"/>
  <c r="BV132" i="5"/>
  <c r="BU132" i="5"/>
  <c r="BK132" i="5"/>
  <c r="BH132" i="5"/>
  <c r="BD132" i="5"/>
  <c r="BM132" i="5"/>
  <c r="BT132" i="5"/>
  <c r="BS132" i="5"/>
  <c r="BQ132" i="5"/>
  <c r="BF132" i="5"/>
  <c r="BI132" i="5"/>
  <c r="BA132" i="5"/>
  <c r="BP132" i="5" s="1"/>
  <c r="BG132" i="5"/>
  <c r="AY132" i="5"/>
  <c r="BE132" i="5"/>
  <c r="AZ132" i="5"/>
  <c r="AU132" i="5"/>
  <c r="BN132" i="5" s="1"/>
  <c r="AV132" i="5"/>
  <c r="BO132" i="5" s="1"/>
  <c r="CK62" i="5"/>
  <c r="CC62" i="5"/>
  <c r="CF62" i="5"/>
  <c r="CA62" i="5"/>
  <c r="CI62" i="5"/>
  <c r="CE62" i="5"/>
  <c r="BQ62" i="5"/>
  <c r="BY62" i="5"/>
  <c r="CD62" i="5"/>
  <c r="BT62" i="5"/>
  <c r="BM62" i="5"/>
  <c r="BW62" i="5"/>
  <c r="BV62" i="5"/>
  <c r="BJ62" i="5"/>
  <c r="BF62" i="5"/>
  <c r="BU62" i="5"/>
  <c r="BH62" i="5"/>
  <c r="AY62" i="5"/>
  <c r="BS62" i="5"/>
  <c r="BR62" i="5"/>
  <c r="BI62" i="5"/>
  <c r="BG62" i="5"/>
  <c r="BK62" i="5"/>
  <c r="BA62" i="5"/>
  <c r="BP62" i="5" s="1"/>
  <c r="BE62" i="5"/>
  <c r="AZ62" i="5"/>
  <c r="BD62" i="5"/>
  <c r="AV62" i="5"/>
  <c r="BO62" i="5" s="1"/>
  <c r="AU62" i="5"/>
  <c r="BN62" i="5" s="1"/>
  <c r="CK133" i="5"/>
  <c r="CI133" i="5"/>
  <c r="CF133" i="5"/>
  <c r="CD133" i="5"/>
  <c r="CE133" i="5"/>
  <c r="CC133" i="5"/>
  <c r="CA133" i="5"/>
  <c r="BW133" i="5"/>
  <c r="BS133" i="5"/>
  <c r="BT133" i="5"/>
  <c r="BY133" i="5"/>
  <c r="BQ133" i="5"/>
  <c r="BV133" i="5"/>
  <c r="BU133" i="5"/>
  <c r="BE133" i="5"/>
  <c r="BM133" i="5"/>
  <c r="BR133" i="5"/>
  <c r="BD133" i="5"/>
  <c r="BG133" i="5"/>
  <c r="BK133" i="5"/>
  <c r="BF133" i="5"/>
  <c r="BH133" i="5"/>
  <c r="BI133" i="5"/>
  <c r="BJ133" i="5"/>
  <c r="BA133" i="5"/>
  <c r="BP133" i="5" s="1"/>
  <c r="AZ133" i="5"/>
  <c r="AY133" i="5"/>
  <c r="AV133" i="5"/>
  <c r="BO133" i="5" s="1"/>
  <c r="AU133" i="5"/>
  <c r="BN133" i="5" s="1"/>
  <c r="CI55" i="5"/>
  <c r="CK55" i="5"/>
  <c r="CF55" i="5"/>
  <c r="CE55" i="5"/>
  <c r="CD55" i="5"/>
  <c r="CC55" i="5"/>
  <c r="BU55" i="5"/>
  <c r="CA55" i="5"/>
  <c r="BV55" i="5"/>
  <c r="BQ55" i="5"/>
  <c r="BI55" i="5"/>
  <c r="BY55" i="5"/>
  <c r="BT55" i="5"/>
  <c r="BJ55" i="5"/>
  <c r="BM55" i="5"/>
  <c r="BS55" i="5"/>
  <c r="BG55" i="5"/>
  <c r="BW55" i="5"/>
  <c r="BR55" i="5"/>
  <c r="BE55" i="5"/>
  <c r="AZ55" i="5"/>
  <c r="BK55" i="5"/>
  <c r="BH55" i="5"/>
  <c r="BF55" i="5"/>
  <c r="BD55" i="5"/>
  <c r="BA55" i="5"/>
  <c r="BP55" i="5" s="1"/>
  <c r="AY55" i="5"/>
  <c r="AV55" i="5"/>
  <c r="BC55" i="5" s="1"/>
  <c r="AU55" i="5"/>
  <c r="BB55" i="5" s="1"/>
  <c r="CG127" i="5"/>
  <c r="CI127" i="5"/>
  <c r="CH127" i="5"/>
  <c r="CJ127" i="5"/>
  <c r="CK127" i="5"/>
  <c r="CE127" i="5"/>
  <c r="CF127" i="5"/>
  <c r="CC127" i="5"/>
  <c r="BX127" i="5"/>
  <c r="BY127" i="5"/>
  <c r="CD127" i="5"/>
  <c r="BW127" i="5"/>
  <c r="BU127" i="5"/>
  <c r="CA127" i="5"/>
  <c r="BI127" i="5"/>
  <c r="BZ127" i="5"/>
  <c r="BS127" i="5"/>
  <c r="BJ127" i="5"/>
  <c r="BT127" i="5"/>
  <c r="BM127" i="5"/>
  <c r="BG127" i="5"/>
  <c r="BR127" i="5"/>
  <c r="BV127" i="5"/>
  <c r="BQ127" i="5"/>
  <c r="BL127" i="5"/>
  <c r="BD127" i="5"/>
  <c r="BF127" i="5"/>
  <c r="AZ127" i="5"/>
  <c r="BH127" i="5"/>
  <c r="BE127" i="5"/>
  <c r="BK127" i="5"/>
  <c r="BA127" i="5"/>
  <c r="AY127" i="5"/>
  <c r="AV127" i="5"/>
  <c r="AU127" i="5"/>
  <c r="CG191" i="5"/>
  <c r="CH191" i="5"/>
  <c r="CJ191" i="5"/>
  <c r="CI191" i="5"/>
  <c r="CK191" i="5"/>
  <c r="CF191" i="5"/>
  <c r="CC191" i="5"/>
  <c r="BY191" i="5"/>
  <c r="CA191" i="5"/>
  <c r="BW191" i="5"/>
  <c r="BU191" i="5"/>
  <c r="CD191" i="5"/>
  <c r="BZ191" i="5"/>
  <c r="BV191" i="5"/>
  <c r="CE191" i="5"/>
  <c r="BI191" i="5"/>
  <c r="BS191" i="5"/>
  <c r="BJ191" i="5"/>
  <c r="BT191" i="5"/>
  <c r="BR191" i="5"/>
  <c r="BG191" i="5"/>
  <c r="BX191" i="5"/>
  <c r="BM191" i="5"/>
  <c r="BD191" i="5"/>
  <c r="BQ191" i="5"/>
  <c r="BF191" i="5"/>
  <c r="AZ191" i="5"/>
  <c r="BL191" i="5"/>
  <c r="BK191" i="5"/>
  <c r="BH191" i="5"/>
  <c r="BE191" i="5"/>
  <c r="BA191" i="5"/>
  <c r="BP191" i="5" s="1"/>
  <c r="CB191" i="5" s="1"/>
  <c r="AY191" i="5"/>
  <c r="AV191" i="5"/>
  <c r="BC191" i="5" s="1"/>
  <c r="AU191" i="5"/>
  <c r="BB191" i="5" s="1"/>
  <c r="CH47" i="5"/>
  <c r="CG47" i="5"/>
  <c r="CI47" i="5"/>
  <c r="CF47" i="5"/>
  <c r="CK47" i="5"/>
  <c r="CE47" i="5"/>
  <c r="CJ47" i="5"/>
  <c r="BX47" i="5"/>
  <c r="CC47" i="5"/>
  <c r="CA47" i="5"/>
  <c r="BW47" i="5"/>
  <c r="BU47" i="5"/>
  <c r="BM47" i="5"/>
  <c r="CD47" i="5"/>
  <c r="BZ47" i="5"/>
  <c r="BI47" i="5"/>
  <c r="BJ47" i="5"/>
  <c r="BV47" i="5"/>
  <c r="BY47" i="5"/>
  <c r="BG47" i="5"/>
  <c r="BL47" i="5"/>
  <c r="BR47" i="5"/>
  <c r="BQ47" i="5"/>
  <c r="BF47" i="5"/>
  <c r="BT47" i="5"/>
  <c r="BS47" i="5"/>
  <c r="BD47" i="5"/>
  <c r="AZ47" i="5"/>
  <c r="BH47" i="5"/>
  <c r="BK47" i="5"/>
  <c r="BE47" i="5"/>
  <c r="AY47" i="5"/>
  <c r="BA47" i="5"/>
  <c r="BP47" i="5" s="1"/>
  <c r="AU47" i="5"/>
  <c r="BB47" i="5" s="1"/>
  <c r="AV47" i="5"/>
  <c r="BC47" i="5" s="1"/>
  <c r="CI120" i="5"/>
  <c r="CK120" i="5"/>
  <c r="CE120" i="5"/>
  <c r="CF120" i="5"/>
  <c r="CD120" i="5"/>
  <c r="BY120" i="5"/>
  <c r="CC120" i="5"/>
  <c r="BV120" i="5"/>
  <c r="BW120" i="5"/>
  <c r="CA120" i="5"/>
  <c r="BR120" i="5"/>
  <c r="BS120" i="5"/>
  <c r="BT120" i="5"/>
  <c r="BQ120" i="5"/>
  <c r="BD120" i="5"/>
  <c r="BM120" i="5"/>
  <c r="BH120" i="5"/>
  <c r="BA120" i="5"/>
  <c r="BP120" i="5" s="1"/>
  <c r="BU120" i="5"/>
  <c r="BI120" i="5"/>
  <c r="BG120" i="5"/>
  <c r="BJ120" i="5"/>
  <c r="BK120" i="5"/>
  <c r="BF120" i="5"/>
  <c r="BE120" i="5"/>
  <c r="AZ120" i="5"/>
  <c r="AY120" i="5"/>
  <c r="AU120" i="5"/>
  <c r="BN120" i="5" s="1"/>
  <c r="AV120" i="5"/>
  <c r="BC120" i="5" s="1"/>
  <c r="CI184" i="5"/>
  <c r="CK184" i="5"/>
  <c r="CE184" i="5"/>
  <c r="CF184" i="5"/>
  <c r="CD184" i="5"/>
  <c r="BY184" i="5"/>
  <c r="CC184" i="5"/>
  <c r="BV184" i="5"/>
  <c r="BW184" i="5"/>
  <c r="BR184" i="5"/>
  <c r="BS184" i="5"/>
  <c r="CA184" i="5"/>
  <c r="BT184" i="5"/>
  <c r="BM184" i="5"/>
  <c r="BD184" i="5"/>
  <c r="BH184" i="5"/>
  <c r="BU184" i="5"/>
  <c r="BA184" i="5"/>
  <c r="BP184" i="5" s="1"/>
  <c r="BQ184" i="5"/>
  <c r="BF184" i="5"/>
  <c r="BI184" i="5"/>
  <c r="BE184" i="5"/>
  <c r="BG184" i="5"/>
  <c r="BJ184" i="5"/>
  <c r="BK184" i="5"/>
  <c r="AZ184" i="5"/>
  <c r="AY184" i="5"/>
  <c r="AU184" i="5"/>
  <c r="BN184" i="5" s="1"/>
  <c r="AV184" i="5"/>
  <c r="BC184" i="5" s="1"/>
  <c r="CI48" i="5"/>
  <c r="CK48" i="5"/>
  <c r="CE48" i="5"/>
  <c r="CC48" i="5"/>
  <c r="CD48" i="5"/>
  <c r="CF48" i="5"/>
  <c r="BY48" i="5"/>
  <c r="BV48" i="5"/>
  <c r="CA48" i="5"/>
  <c r="BR48" i="5"/>
  <c r="BS48" i="5"/>
  <c r="BQ48" i="5"/>
  <c r="BT48" i="5"/>
  <c r="BU48" i="5"/>
  <c r="BW48" i="5"/>
  <c r="BK48" i="5"/>
  <c r="BD48" i="5"/>
  <c r="BM48" i="5"/>
  <c r="BH48" i="5"/>
  <c r="BA48" i="5"/>
  <c r="BP48" i="5" s="1"/>
  <c r="BG48" i="5"/>
  <c r="BI48" i="5"/>
  <c r="BJ48" i="5"/>
  <c r="BF48" i="5"/>
  <c r="BE48" i="5"/>
  <c r="AZ48" i="5"/>
  <c r="AY48" i="5"/>
  <c r="AU48" i="5"/>
  <c r="BB48" i="5" s="1"/>
  <c r="AV48" i="5"/>
  <c r="BC48" i="5" s="1"/>
  <c r="CK121" i="5"/>
  <c r="CF121" i="5"/>
  <c r="CE121" i="5"/>
  <c r="CD121" i="5"/>
  <c r="CA121" i="5"/>
  <c r="BY121" i="5"/>
  <c r="CI121" i="5"/>
  <c r="CC121" i="5"/>
  <c r="BW121" i="5"/>
  <c r="BR121" i="5"/>
  <c r="BK121" i="5"/>
  <c r="BU121" i="5"/>
  <c r="BM121" i="5"/>
  <c r="BS121" i="5"/>
  <c r="BJ121" i="5"/>
  <c r="BE121" i="5"/>
  <c r="BQ121" i="5"/>
  <c r="BV121" i="5"/>
  <c r="BF121" i="5"/>
  <c r="BT121" i="5"/>
  <c r="BH121" i="5"/>
  <c r="BI121" i="5"/>
  <c r="BG121" i="5"/>
  <c r="BD121" i="5"/>
  <c r="AY121" i="5"/>
  <c r="BA121" i="5"/>
  <c r="BP121" i="5" s="1"/>
  <c r="AZ121" i="5"/>
  <c r="AU121" i="5"/>
  <c r="BB121" i="5" s="1"/>
  <c r="AV121" i="5"/>
  <c r="BC121" i="5" s="1"/>
  <c r="CK185" i="5"/>
  <c r="CF185" i="5"/>
  <c r="CE185" i="5"/>
  <c r="CA185" i="5"/>
  <c r="CD185" i="5"/>
  <c r="BY185" i="5"/>
  <c r="CI185" i="5"/>
  <c r="BW185" i="5"/>
  <c r="BR185" i="5"/>
  <c r="BK185" i="5"/>
  <c r="CC185" i="5"/>
  <c r="BU185" i="5"/>
  <c r="BM185" i="5"/>
  <c r="BS185" i="5"/>
  <c r="BT185" i="5"/>
  <c r="BJ185" i="5"/>
  <c r="BQ185" i="5"/>
  <c r="BE185" i="5"/>
  <c r="BV185" i="5"/>
  <c r="BF185" i="5"/>
  <c r="BH185" i="5"/>
  <c r="BI185" i="5"/>
  <c r="BG185" i="5"/>
  <c r="BD185" i="5"/>
  <c r="AY185" i="5"/>
  <c r="BA185" i="5"/>
  <c r="BP185" i="5" s="1"/>
  <c r="AZ185" i="5"/>
  <c r="AU185" i="5"/>
  <c r="BB185" i="5" s="1"/>
  <c r="AV185" i="5"/>
  <c r="BC185" i="5" s="1"/>
  <c r="CK22" i="5"/>
  <c r="CI22" i="5"/>
  <c r="CA22" i="5"/>
  <c r="CF22" i="5"/>
  <c r="CE22" i="5"/>
  <c r="BV22" i="5"/>
  <c r="BQ22" i="5"/>
  <c r="CD22" i="5"/>
  <c r="CC22" i="5"/>
  <c r="BY22" i="5"/>
  <c r="BR22" i="5"/>
  <c r="BS22" i="5"/>
  <c r="BI22" i="5"/>
  <c r="BW22" i="5"/>
  <c r="BK22" i="5"/>
  <c r="BF22" i="5"/>
  <c r="AY22" i="5"/>
  <c r="BM22" i="5"/>
  <c r="BU22" i="5"/>
  <c r="BT22" i="5"/>
  <c r="BG22" i="5"/>
  <c r="BE22" i="5"/>
  <c r="BJ22" i="5"/>
  <c r="BD22" i="5"/>
  <c r="BH22" i="5"/>
  <c r="BA22" i="5"/>
  <c r="BP22" i="5" s="1"/>
  <c r="AZ22" i="5"/>
  <c r="AV22" i="5"/>
  <c r="BO22" i="5" s="1"/>
  <c r="AU22" i="5"/>
  <c r="BB22" i="5" s="1"/>
  <c r="CI95" i="5"/>
  <c r="CK95" i="5"/>
  <c r="CE95" i="5"/>
  <c r="CF95" i="5"/>
  <c r="CC95" i="5"/>
  <c r="BY95" i="5"/>
  <c r="BW95" i="5"/>
  <c r="BU95" i="5"/>
  <c r="CA95" i="5"/>
  <c r="BI95" i="5"/>
  <c r="CD95" i="5"/>
  <c r="BS95" i="5"/>
  <c r="BJ95" i="5"/>
  <c r="BQ95" i="5"/>
  <c r="BG95" i="5"/>
  <c r="BM95" i="5"/>
  <c r="BV95" i="5"/>
  <c r="BD95" i="5"/>
  <c r="BT95" i="5"/>
  <c r="BR95" i="5"/>
  <c r="BF95" i="5"/>
  <c r="AZ95" i="5"/>
  <c r="BK95" i="5"/>
  <c r="BH95" i="5"/>
  <c r="BA95" i="5"/>
  <c r="BP95" i="5" s="1"/>
  <c r="BE95" i="5"/>
  <c r="AY95" i="5"/>
  <c r="AU95" i="5"/>
  <c r="BB95" i="5" s="1"/>
  <c r="AV95" i="5"/>
  <c r="BC95" i="5" s="1"/>
  <c r="CK162" i="5"/>
  <c r="CI162" i="5"/>
  <c r="CD162" i="5"/>
  <c r="CC162" i="5"/>
  <c r="CA162" i="5"/>
  <c r="CF162" i="5"/>
  <c r="BT162" i="5"/>
  <c r="CE162" i="5"/>
  <c r="BU162" i="5"/>
  <c r="BI162" i="5"/>
  <c r="BV162" i="5"/>
  <c r="BM162" i="5"/>
  <c r="BF162" i="5"/>
  <c r="BW162" i="5"/>
  <c r="BR162" i="5"/>
  <c r="BS162" i="5"/>
  <c r="BE162" i="5"/>
  <c r="BY162" i="5"/>
  <c r="BQ162" i="5"/>
  <c r="AY162" i="5"/>
  <c r="BG162" i="5"/>
  <c r="BJ162" i="5"/>
  <c r="BK162" i="5"/>
  <c r="BH162" i="5"/>
  <c r="BD162" i="5"/>
  <c r="BA162" i="5"/>
  <c r="BP162" i="5" s="1"/>
  <c r="AZ162" i="5"/>
  <c r="AV162" i="5"/>
  <c r="BO162" i="5" s="1"/>
  <c r="AU162" i="5"/>
  <c r="BB162" i="5" s="1"/>
  <c r="CG14" i="5"/>
  <c r="CF14" i="5"/>
  <c r="CK14" i="5"/>
  <c r="CC14" i="5"/>
  <c r="CE14" i="5"/>
  <c r="CD14" i="5"/>
  <c r="BY14" i="5"/>
  <c r="BQ14" i="5"/>
  <c r="CI14" i="5"/>
  <c r="CA14" i="5"/>
  <c r="BR14" i="5"/>
  <c r="BU14" i="5"/>
  <c r="BS14" i="5"/>
  <c r="BT14" i="5"/>
  <c r="BM14" i="5"/>
  <c r="BV14" i="5"/>
  <c r="BW14" i="5"/>
  <c r="BJ14" i="5"/>
  <c r="BF14" i="5"/>
  <c r="AY14" i="5"/>
  <c r="BH14" i="5"/>
  <c r="BE14" i="5"/>
  <c r="BI14" i="5"/>
  <c r="BG14" i="5"/>
  <c r="BK14" i="5"/>
  <c r="BD14" i="5"/>
  <c r="BA14" i="5"/>
  <c r="BP14" i="5" s="1"/>
  <c r="AZ14" i="5"/>
  <c r="AV14" i="5"/>
  <c r="BO14" i="5" s="1"/>
  <c r="AU14" i="5"/>
  <c r="BB14" i="5" s="1"/>
  <c r="CI87" i="5"/>
  <c r="CK87" i="5"/>
  <c r="CE87" i="5"/>
  <c r="CD87" i="5"/>
  <c r="CF87" i="5"/>
  <c r="BU87" i="5"/>
  <c r="CC87" i="5"/>
  <c r="BY87" i="5"/>
  <c r="BQ87" i="5"/>
  <c r="BI87" i="5"/>
  <c r="BT87" i="5"/>
  <c r="BJ87" i="5"/>
  <c r="BM87" i="5"/>
  <c r="BG87" i="5"/>
  <c r="CA87" i="5"/>
  <c r="BW87" i="5"/>
  <c r="BV87" i="5"/>
  <c r="BR87" i="5"/>
  <c r="BS87" i="5"/>
  <c r="BE87" i="5"/>
  <c r="BK87" i="5"/>
  <c r="AZ87" i="5"/>
  <c r="BD87" i="5"/>
  <c r="BF87" i="5"/>
  <c r="BH87" i="5"/>
  <c r="BA87" i="5"/>
  <c r="BP87" i="5" s="1"/>
  <c r="AY87" i="5"/>
  <c r="AV87" i="5"/>
  <c r="BC87" i="5" s="1"/>
  <c r="AU87" i="5"/>
  <c r="BB87" i="5" s="1"/>
  <c r="CI155" i="5"/>
  <c r="CH155" i="5"/>
  <c r="CJ155" i="5"/>
  <c r="CE155" i="5"/>
  <c r="CD155" i="5"/>
  <c r="BX155" i="5"/>
  <c r="BY155" i="5"/>
  <c r="CK155" i="5"/>
  <c r="BZ155" i="5"/>
  <c r="BV155" i="5"/>
  <c r="CF155" i="5"/>
  <c r="BQ155" i="5"/>
  <c r="CA155" i="5"/>
  <c r="BR155" i="5"/>
  <c r="CC155" i="5"/>
  <c r="CG155" i="5"/>
  <c r="BS155" i="5"/>
  <c r="BU155" i="5"/>
  <c r="BT155" i="5"/>
  <c r="BM155" i="5"/>
  <c r="BK155" i="5"/>
  <c r="BW155" i="5"/>
  <c r="BG155" i="5"/>
  <c r="AZ155" i="5"/>
  <c r="BJ155" i="5"/>
  <c r="BH155" i="5"/>
  <c r="BL155" i="5"/>
  <c r="BE155" i="5"/>
  <c r="BI155" i="5"/>
  <c r="BF155" i="5"/>
  <c r="BD155" i="5"/>
  <c r="BA155" i="5"/>
  <c r="BP155" i="5" s="1"/>
  <c r="AU155" i="5"/>
  <c r="BN155" i="5" s="1"/>
  <c r="AY155" i="5"/>
  <c r="AV155" i="5"/>
  <c r="BO155" i="5" s="1"/>
  <c r="CK70" i="5"/>
  <c r="CF70" i="5"/>
  <c r="CD70" i="5"/>
  <c r="CE70" i="5"/>
  <c r="CA70" i="5"/>
  <c r="BQ70" i="5"/>
  <c r="BY70" i="5"/>
  <c r="CI70" i="5"/>
  <c r="CC70" i="5"/>
  <c r="BS70" i="5"/>
  <c r="BM70" i="5"/>
  <c r="BT70" i="5"/>
  <c r="BK70" i="5"/>
  <c r="BI70" i="5"/>
  <c r="BF70" i="5"/>
  <c r="BG70" i="5"/>
  <c r="AY70" i="5"/>
  <c r="BU70" i="5"/>
  <c r="BV70" i="5"/>
  <c r="BW70" i="5"/>
  <c r="BR70" i="5"/>
  <c r="BH70" i="5"/>
  <c r="BE70" i="5"/>
  <c r="BJ70" i="5"/>
  <c r="AZ70" i="5"/>
  <c r="BD70" i="5"/>
  <c r="BA70" i="5"/>
  <c r="BP70" i="5" s="1"/>
  <c r="AV70" i="5"/>
  <c r="BC70" i="5" s="1"/>
  <c r="AU70" i="5"/>
  <c r="BN70" i="5" s="1"/>
  <c r="CI140" i="5"/>
  <c r="CH140" i="5"/>
  <c r="CK140" i="5"/>
  <c r="CJ140" i="5"/>
  <c r="CE140" i="5"/>
  <c r="CG140" i="5"/>
  <c r="CF140" i="5"/>
  <c r="CD140" i="5"/>
  <c r="BZ140" i="5"/>
  <c r="CC140" i="5"/>
  <c r="BX140" i="5"/>
  <c r="CA140" i="5"/>
  <c r="BV140" i="5"/>
  <c r="BQ140" i="5"/>
  <c r="BJ140" i="5"/>
  <c r="BT140" i="5"/>
  <c r="BK140" i="5"/>
  <c r="BU140" i="5"/>
  <c r="BM140" i="5"/>
  <c r="BY140" i="5"/>
  <c r="BI140" i="5"/>
  <c r="BH140" i="5"/>
  <c r="BW140" i="5"/>
  <c r="BS140" i="5"/>
  <c r="BD140" i="5"/>
  <c r="BE140" i="5"/>
  <c r="BR140" i="5"/>
  <c r="BG140" i="5"/>
  <c r="BA140" i="5"/>
  <c r="BP140" i="5" s="1"/>
  <c r="BL140" i="5"/>
  <c r="BF140" i="5"/>
  <c r="AZ140" i="5"/>
  <c r="AY140" i="5"/>
  <c r="AU140" i="5"/>
  <c r="BN140" i="5" s="1"/>
  <c r="AV140" i="5"/>
  <c r="BC140" i="5" s="1"/>
  <c r="CI204" i="5"/>
  <c r="CK204" i="5"/>
  <c r="CF204" i="5"/>
  <c r="CD204" i="5"/>
  <c r="CC204" i="5"/>
  <c r="CA204" i="5"/>
  <c r="BV204" i="5"/>
  <c r="CE204" i="5"/>
  <c r="BQ204" i="5"/>
  <c r="BJ204" i="5"/>
  <c r="BT204" i="5"/>
  <c r="BK204" i="5"/>
  <c r="BW204" i="5"/>
  <c r="BU204" i="5"/>
  <c r="BM204" i="5"/>
  <c r="BY204" i="5"/>
  <c r="BI204" i="5"/>
  <c r="BH204" i="5"/>
  <c r="BD204" i="5"/>
  <c r="BS204" i="5"/>
  <c r="BR204" i="5"/>
  <c r="BE204" i="5"/>
  <c r="BG204" i="5"/>
  <c r="BA204" i="5"/>
  <c r="BP204" i="5" s="1"/>
  <c r="BF204" i="5"/>
  <c r="AZ204" i="5"/>
  <c r="AY204" i="5"/>
  <c r="AU204" i="5"/>
  <c r="BB204" i="5" s="1"/>
  <c r="AV204" i="5"/>
  <c r="BC204" i="5" s="1"/>
  <c r="CI71" i="5"/>
  <c r="CK71" i="5"/>
  <c r="CE71" i="5"/>
  <c r="CD71" i="5"/>
  <c r="BV71" i="5"/>
  <c r="BU71" i="5"/>
  <c r="BY71" i="5"/>
  <c r="CA71" i="5"/>
  <c r="CF71" i="5"/>
  <c r="BI71" i="5"/>
  <c r="CC71" i="5"/>
  <c r="BR71" i="5"/>
  <c r="BJ71" i="5"/>
  <c r="BW71" i="5"/>
  <c r="BS71" i="5"/>
  <c r="BM71" i="5"/>
  <c r="BT71" i="5"/>
  <c r="BG71" i="5"/>
  <c r="BQ71" i="5"/>
  <c r="BE71" i="5"/>
  <c r="AZ71" i="5"/>
  <c r="BF71" i="5"/>
  <c r="BH71" i="5"/>
  <c r="BK71" i="5"/>
  <c r="BD71" i="5"/>
  <c r="BA71" i="5"/>
  <c r="BP71" i="5" s="1"/>
  <c r="AY71" i="5"/>
  <c r="AV71" i="5"/>
  <c r="BO71" i="5" s="1"/>
  <c r="AU71" i="5"/>
  <c r="BN71" i="5" s="1"/>
  <c r="CK141" i="5"/>
  <c r="CF141" i="5"/>
  <c r="CI141" i="5"/>
  <c r="CD141" i="5"/>
  <c r="CE141" i="5"/>
  <c r="CC141" i="5"/>
  <c r="CA141" i="5"/>
  <c r="BW141" i="5"/>
  <c r="BS141" i="5"/>
  <c r="BT141" i="5"/>
  <c r="BV141" i="5"/>
  <c r="BM141" i="5"/>
  <c r="BE141" i="5"/>
  <c r="BY141" i="5"/>
  <c r="BU141" i="5"/>
  <c r="BR141" i="5"/>
  <c r="BQ141" i="5"/>
  <c r="BF141" i="5"/>
  <c r="BI141" i="5"/>
  <c r="BH141" i="5"/>
  <c r="BJ141" i="5"/>
  <c r="BK141" i="5"/>
  <c r="BG141" i="5"/>
  <c r="BD141" i="5"/>
  <c r="BA141" i="5"/>
  <c r="BP141" i="5" s="1"/>
  <c r="AZ141" i="5"/>
  <c r="AY141" i="5"/>
  <c r="AU141" i="5"/>
  <c r="BN141" i="5" s="1"/>
  <c r="AV141" i="5"/>
  <c r="BO141" i="5" s="1"/>
  <c r="CK205" i="5"/>
  <c r="CF205" i="5"/>
  <c r="CI205" i="5"/>
  <c r="CD205" i="5"/>
  <c r="CE205" i="5"/>
  <c r="CC205" i="5"/>
  <c r="CA205" i="5"/>
  <c r="BW205" i="5"/>
  <c r="BS205" i="5"/>
  <c r="BT205" i="5"/>
  <c r="BY205" i="5"/>
  <c r="BV205" i="5"/>
  <c r="BE205" i="5"/>
  <c r="BQ205" i="5"/>
  <c r="BM205" i="5"/>
  <c r="BR205" i="5"/>
  <c r="BU205" i="5"/>
  <c r="BG205" i="5"/>
  <c r="BI205" i="5"/>
  <c r="BF205" i="5"/>
  <c r="BH205" i="5"/>
  <c r="BJ205" i="5"/>
  <c r="BK205" i="5"/>
  <c r="BA205" i="5"/>
  <c r="BP205" i="5" s="1"/>
  <c r="BD205" i="5"/>
  <c r="AY205" i="5"/>
  <c r="AZ205" i="5"/>
  <c r="AU205" i="5"/>
  <c r="BB205" i="5" s="1"/>
  <c r="AV205" i="5"/>
  <c r="BO205" i="5" s="1"/>
  <c r="CI54" i="5"/>
  <c r="CD54" i="5"/>
  <c r="CE54" i="5"/>
  <c r="CC54" i="5"/>
  <c r="CF54" i="5"/>
  <c r="BV54" i="5"/>
  <c r="BQ54" i="5"/>
  <c r="CA54" i="5"/>
  <c r="BY54" i="5"/>
  <c r="BM54" i="5"/>
  <c r="CK54" i="5"/>
  <c r="BW54" i="5"/>
  <c r="BU54" i="5"/>
  <c r="BI54" i="5"/>
  <c r="BK54" i="5"/>
  <c r="BF54" i="5"/>
  <c r="BT54" i="5"/>
  <c r="BS54" i="5"/>
  <c r="BR54" i="5"/>
  <c r="AY54" i="5"/>
  <c r="BG54" i="5"/>
  <c r="BH54" i="5"/>
  <c r="BJ54" i="5"/>
  <c r="BE54" i="5"/>
  <c r="BD54" i="5"/>
  <c r="BA54" i="5"/>
  <c r="BP54" i="5" s="1"/>
  <c r="AZ54" i="5"/>
  <c r="AV54" i="5"/>
  <c r="BO54" i="5" s="1"/>
  <c r="AU54" i="5"/>
  <c r="BN54" i="5" s="1"/>
  <c r="CD126" i="5"/>
  <c r="CI126" i="5"/>
  <c r="CF126" i="5"/>
  <c r="CA126" i="5"/>
  <c r="CC126" i="5"/>
  <c r="CK126" i="5"/>
  <c r="CE126" i="5"/>
  <c r="BQ126" i="5"/>
  <c r="BV126" i="5"/>
  <c r="BT126" i="5"/>
  <c r="BM126" i="5"/>
  <c r="BY126" i="5"/>
  <c r="BW126" i="5"/>
  <c r="BR126" i="5"/>
  <c r="BJ126" i="5"/>
  <c r="BF126" i="5"/>
  <c r="BS126" i="5"/>
  <c r="BH126" i="5"/>
  <c r="AY126" i="5"/>
  <c r="BU126" i="5"/>
  <c r="BI126" i="5"/>
  <c r="BG126" i="5"/>
  <c r="BK126" i="5"/>
  <c r="BA126" i="5"/>
  <c r="BP126" i="5" s="1"/>
  <c r="AZ126" i="5"/>
  <c r="BE126" i="5"/>
  <c r="BD126" i="5"/>
  <c r="AV126" i="5"/>
  <c r="BO126" i="5" s="1"/>
  <c r="AU126" i="5"/>
  <c r="BN126" i="5" s="1"/>
  <c r="CG190" i="5"/>
  <c r="CK190" i="5"/>
  <c r="CE190" i="5"/>
  <c r="CC190" i="5"/>
  <c r="CA190" i="5"/>
  <c r="CI190" i="5"/>
  <c r="BQ190" i="5"/>
  <c r="CF190" i="5"/>
  <c r="CD190" i="5"/>
  <c r="BT190" i="5"/>
  <c r="BM190" i="5"/>
  <c r="BY190" i="5"/>
  <c r="BW190" i="5"/>
  <c r="BU190" i="5"/>
  <c r="BJ190" i="5"/>
  <c r="BF190" i="5"/>
  <c r="BV190" i="5"/>
  <c r="BH190" i="5"/>
  <c r="AY190" i="5"/>
  <c r="BS190" i="5"/>
  <c r="BR190" i="5"/>
  <c r="BG190" i="5"/>
  <c r="BK190" i="5"/>
  <c r="BI190" i="5"/>
  <c r="BD190" i="5"/>
  <c r="BA190" i="5"/>
  <c r="AZ190" i="5"/>
  <c r="BE190" i="5"/>
  <c r="AV190" i="5"/>
  <c r="AU190" i="5"/>
  <c r="CG25" i="5"/>
  <c r="CK25" i="5"/>
  <c r="CE25" i="5"/>
  <c r="CF25" i="5"/>
  <c r="CI25" i="5"/>
  <c r="CC25" i="5"/>
  <c r="CD25" i="5"/>
  <c r="CA25" i="5"/>
  <c r="BY25" i="5"/>
  <c r="BW25" i="5"/>
  <c r="BR25" i="5"/>
  <c r="BK25" i="5"/>
  <c r="BU25" i="5"/>
  <c r="BQ25" i="5"/>
  <c r="BJ25" i="5"/>
  <c r="BE25" i="5"/>
  <c r="BS25" i="5"/>
  <c r="BV25" i="5"/>
  <c r="BI25" i="5"/>
  <c r="BF25" i="5"/>
  <c r="BT25" i="5"/>
  <c r="BH25" i="5"/>
  <c r="BG25" i="5"/>
  <c r="BM25" i="5"/>
  <c r="AY25" i="5"/>
  <c r="BD25" i="5"/>
  <c r="BA25" i="5"/>
  <c r="BP25" i="5" s="1"/>
  <c r="AZ25" i="5"/>
  <c r="AV25" i="5"/>
  <c r="BO25" i="5" s="1"/>
  <c r="AU25" i="5"/>
  <c r="BN25" i="5" s="1"/>
  <c r="CK89" i="5"/>
  <c r="CF89" i="5"/>
  <c r="CE89" i="5"/>
  <c r="CC89" i="5"/>
  <c r="CI89" i="5"/>
  <c r="CD89" i="5"/>
  <c r="CA89" i="5"/>
  <c r="BY89" i="5"/>
  <c r="BW89" i="5"/>
  <c r="BR89" i="5"/>
  <c r="BK89" i="5"/>
  <c r="BV89" i="5"/>
  <c r="BU89" i="5"/>
  <c r="BM89" i="5"/>
  <c r="BT89" i="5"/>
  <c r="BJ89" i="5"/>
  <c r="BE89" i="5"/>
  <c r="BF89" i="5"/>
  <c r="BS89" i="5"/>
  <c r="BQ89" i="5"/>
  <c r="BI89" i="5"/>
  <c r="BH89" i="5"/>
  <c r="BG89" i="5"/>
  <c r="AY89" i="5"/>
  <c r="BD89" i="5"/>
  <c r="BA89" i="5"/>
  <c r="BP89" i="5" s="1"/>
  <c r="AZ89" i="5"/>
  <c r="AV89" i="5"/>
  <c r="BO89" i="5" s="1"/>
  <c r="AU89" i="5"/>
  <c r="BB89" i="5" s="1"/>
  <c r="CI200" i="5"/>
  <c r="CK200" i="5"/>
  <c r="CG200" i="5"/>
  <c r="CF200" i="5"/>
  <c r="CD200" i="5"/>
  <c r="CE200" i="5"/>
  <c r="CH200" i="5"/>
  <c r="BY200" i="5"/>
  <c r="BZ200" i="5"/>
  <c r="BX200" i="5"/>
  <c r="CJ200" i="5"/>
  <c r="CA200" i="5"/>
  <c r="BW200" i="5"/>
  <c r="BR200" i="5"/>
  <c r="CC200" i="5"/>
  <c r="BS200" i="5"/>
  <c r="BT200" i="5"/>
  <c r="BL200" i="5"/>
  <c r="BU200" i="5"/>
  <c r="BD200" i="5"/>
  <c r="BH200" i="5"/>
  <c r="BQ200" i="5"/>
  <c r="BA200" i="5"/>
  <c r="BP200" i="5" s="1"/>
  <c r="BV200" i="5"/>
  <c r="BM200" i="5"/>
  <c r="BK200" i="5"/>
  <c r="BF200" i="5"/>
  <c r="BI200" i="5"/>
  <c r="BJ200" i="5"/>
  <c r="BE200" i="5"/>
  <c r="BG200" i="5"/>
  <c r="AY200" i="5"/>
  <c r="AZ200" i="5"/>
  <c r="AV200" i="5"/>
  <c r="BC200" i="5" s="1"/>
  <c r="AU200" i="5"/>
  <c r="BN200" i="5" s="1"/>
  <c r="BB4" i="5"/>
  <c r="CI32" i="5"/>
  <c r="CK32" i="5"/>
  <c r="CE32" i="5"/>
  <c r="CF32" i="5"/>
  <c r="CC32" i="5"/>
  <c r="CD32" i="5"/>
  <c r="BY32" i="5"/>
  <c r="BV32" i="5"/>
  <c r="BR32" i="5"/>
  <c r="BS32" i="5"/>
  <c r="CA32" i="5"/>
  <c r="BU32" i="5"/>
  <c r="BT32" i="5"/>
  <c r="BD32" i="5"/>
  <c r="BW32" i="5"/>
  <c r="BK32" i="5"/>
  <c r="BH32" i="5"/>
  <c r="BJ32" i="5"/>
  <c r="BA32" i="5"/>
  <c r="BP32" i="5" s="1"/>
  <c r="BQ32" i="5"/>
  <c r="BM32" i="5"/>
  <c r="BI32" i="5"/>
  <c r="BG32" i="5"/>
  <c r="BF32" i="5"/>
  <c r="AZ32" i="5"/>
  <c r="BE32" i="5"/>
  <c r="AY32" i="5"/>
  <c r="AV32" i="5"/>
  <c r="BO32" i="5" s="1"/>
  <c r="AU32" i="5"/>
  <c r="BB32" i="5" s="1"/>
  <c r="CK10" i="5"/>
  <c r="CJ10" i="5"/>
  <c r="CI10" i="5"/>
  <c r="CF10" i="5"/>
  <c r="CH10" i="5"/>
  <c r="CG10" i="5"/>
  <c r="CC10" i="5"/>
  <c r="CA10" i="5"/>
  <c r="BW10" i="5"/>
  <c r="BY10" i="5"/>
  <c r="CE10" i="5"/>
  <c r="BT10" i="5"/>
  <c r="BU10" i="5"/>
  <c r="BM10" i="5"/>
  <c r="BZ10" i="5"/>
  <c r="BH10" i="5"/>
  <c r="CD10" i="5"/>
  <c r="BS10" i="5"/>
  <c r="BI10" i="5"/>
  <c r="BL10" i="5"/>
  <c r="BF10" i="5"/>
  <c r="BX10" i="5"/>
  <c r="BV10" i="5"/>
  <c r="BD10" i="5"/>
  <c r="BR10" i="5"/>
  <c r="BQ10" i="5"/>
  <c r="BJ10" i="5"/>
  <c r="AY10" i="5"/>
  <c r="BE10" i="5"/>
  <c r="BG10" i="5"/>
  <c r="BK10" i="5"/>
  <c r="BA10" i="5"/>
  <c r="BP10" i="5" s="1"/>
  <c r="AZ10" i="5"/>
  <c r="AU10" i="5"/>
  <c r="BB10" i="5" s="1"/>
  <c r="AV10" i="5"/>
  <c r="BO10" i="5" s="1"/>
  <c r="CI110" i="5"/>
  <c r="CE110" i="5"/>
  <c r="CC110" i="5"/>
  <c r="BY110" i="5"/>
  <c r="CF110" i="5"/>
  <c r="CK110" i="5"/>
  <c r="CD110" i="5"/>
  <c r="BW110" i="5"/>
  <c r="BQ110" i="5"/>
  <c r="BR110" i="5"/>
  <c r="BM110" i="5"/>
  <c r="BU110" i="5"/>
  <c r="CA110" i="5"/>
  <c r="BT110" i="5"/>
  <c r="BJ110" i="5"/>
  <c r="BV110" i="5"/>
  <c r="BF110" i="5"/>
  <c r="BS110" i="5"/>
  <c r="BI110" i="5"/>
  <c r="AY110" i="5"/>
  <c r="BH110" i="5"/>
  <c r="BG110" i="5"/>
  <c r="BK110" i="5"/>
  <c r="BD110" i="5"/>
  <c r="BA110" i="5"/>
  <c r="BP110" i="5" s="1"/>
  <c r="AZ110" i="5"/>
  <c r="BE110" i="5"/>
  <c r="AV110" i="5"/>
  <c r="BC110" i="5" s="1"/>
  <c r="AU110" i="5"/>
  <c r="BN110" i="5" s="1"/>
  <c r="CK29" i="5"/>
  <c r="CH29" i="5"/>
  <c r="CJ29" i="5"/>
  <c r="CF29" i="5"/>
  <c r="CG29" i="5"/>
  <c r="CI29" i="5"/>
  <c r="CD29" i="5"/>
  <c r="BZ29" i="5"/>
  <c r="BX29" i="5"/>
  <c r="CE29" i="5"/>
  <c r="CA29" i="5"/>
  <c r="BW29" i="5"/>
  <c r="CC29" i="5"/>
  <c r="BV29" i="5"/>
  <c r="BS29" i="5"/>
  <c r="BY29" i="5"/>
  <c r="BT29" i="5"/>
  <c r="BR29" i="5"/>
  <c r="BM29" i="5"/>
  <c r="BU29" i="5"/>
  <c r="BE29" i="5"/>
  <c r="BQ29" i="5"/>
  <c r="BL29" i="5"/>
  <c r="BF29" i="5"/>
  <c r="BI29" i="5"/>
  <c r="BH29" i="5"/>
  <c r="BJ29" i="5"/>
  <c r="BK29" i="5"/>
  <c r="BG29" i="5"/>
  <c r="BD29" i="5"/>
  <c r="AZ29" i="5"/>
  <c r="AY29" i="5"/>
  <c r="BA29" i="5"/>
  <c r="BP29" i="5" s="1"/>
  <c r="AU29" i="5"/>
  <c r="BB29" i="5" s="1"/>
  <c r="AV29" i="5"/>
  <c r="BC29" i="5" s="1"/>
  <c r="CI168" i="5"/>
  <c r="CK168" i="5"/>
  <c r="CH168" i="5"/>
  <c r="CJ168" i="5"/>
  <c r="CE168" i="5"/>
  <c r="CF168" i="5"/>
  <c r="CD168" i="5"/>
  <c r="CG168" i="5"/>
  <c r="BY168" i="5"/>
  <c r="BZ168" i="5"/>
  <c r="BX168" i="5"/>
  <c r="BV168" i="5"/>
  <c r="CA168" i="5"/>
  <c r="BW168" i="5"/>
  <c r="BR168" i="5"/>
  <c r="CC168" i="5"/>
  <c r="BS168" i="5"/>
  <c r="BT168" i="5"/>
  <c r="BU168" i="5"/>
  <c r="BD168" i="5"/>
  <c r="BQ168" i="5"/>
  <c r="BH168" i="5"/>
  <c r="BI168" i="5"/>
  <c r="BA168" i="5"/>
  <c r="BP168" i="5" s="1"/>
  <c r="BM168" i="5"/>
  <c r="BK168" i="5"/>
  <c r="BG168" i="5"/>
  <c r="BL168" i="5"/>
  <c r="BJ168" i="5"/>
  <c r="BF168" i="5"/>
  <c r="BE168" i="5"/>
  <c r="AZ168" i="5"/>
  <c r="AY168" i="5"/>
  <c r="AU168" i="5"/>
  <c r="BN168" i="5" s="1"/>
  <c r="AV168" i="5"/>
  <c r="BC168" i="5" s="1"/>
  <c r="CI103" i="5"/>
  <c r="CK103" i="5"/>
  <c r="CE103" i="5"/>
  <c r="CF103" i="5"/>
  <c r="CD103" i="5"/>
  <c r="CC103" i="5"/>
  <c r="BV103" i="5"/>
  <c r="BU103" i="5"/>
  <c r="CA103" i="5"/>
  <c r="BW103" i="5"/>
  <c r="BI103" i="5"/>
  <c r="BR103" i="5"/>
  <c r="BJ103" i="5"/>
  <c r="BQ103" i="5"/>
  <c r="BM103" i="5"/>
  <c r="BG103" i="5"/>
  <c r="BY103" i="5"/>
  <c r="BS103" i="5"/>
  <c r="BT103" i="5"/>
  <c r="BE103" i="5"/>
  <c r="AZ103" i="5"/>
  <c r="BK103" i="5"/>
  <c r="BH103" i="5"/>
  <c r="BF103" i="5"/>
  <c r="BD103" i="5"/>
  <c r="BA103" i="5"/>
  <c r="BP103" i="5" s="1"/>
  <c r="AY103" i="5"/>
  <c r="AU103" i="5"/>
  <c r="BN103" i="5" s="1"/>
  <c r="AV103" i="5"/>
  <c r="BO103" i="5" s="1"/>
  <c r="CI64" i="5"/>
  <c r="CK64" i="5"/>
  <c r="CE64" i="5"/>
  <c r="CF64" i="5"/>
  <c r="CC64" i="5"/>
  <c r="CD64" i="5"/>
  <c r="BY64" i="5"/>
  <c r="BV64" i="5"/>
  <c r="BW64" i="5"/>
  <c r="CA64" i="5"/>
  <c r="BR64" i="5"/>
  <c r="BS64" i="5"/>
  <c r="BU64" i="5"/>
  <c r="BD64" i="5"/>
  <c r="BK64" i="5"/>
  <c r="BH64" i="5"/>
  <c r="BT64" i="5"/>
  <c r="BM64" i="5"/>
  <c r="BA64" i="5"/>
  <c r="BQ64" i="5"/>
  <c r="BE64" i="5"/>
  <c r="BI64" i="5"/>
  <c r="BG64" i="5"/>
  <c r="BJ64" i="5"/>
  <c r="BF64" i="5"/>
  <c r="AZ64" i="5"/>
  <c r="AY64" i="5"/>
  <c r="AV64" i="5"/>
  <c r="AU64" i="5"/>
  <c r="CI135" i="5"/>
  <c r="CK135" i="5"/>
  <c r="CE135" i="5"/>
  <c r="CF135" i="5"/>
  <c r="CA135" i="5"/>
  <c r="BV135" i="5"/>
  <c r="BU135" i="5"/>
  <c r="CD135" i="5"/>
  <c r="BI135" i="5"/>
  <c r="CC135" i="5"/>
  <c r="BY135" i="5"/>
  <c r="BR135" i="5"/>
  <c r="BJ135" i="5"/>
  <c r="BM135" i="5"/>
  <c r="BS135" i="5"/>
  <c r="BG135" i="5"/>
  <c r="BW135" i="5"/>
  <c r="BT135" i="5"/>
  <c r="BQ135" i="5"/>
  <c r="BE135" i="5"/>
  <c r="AZ135" i="5"/>
  <c r="BK135" i="5"/>
  <c r="BD135" i="5"/>
  <c r="BF135" i="5"/>
  <c r="BH135" i="5"/>
  <c r="BA135" i="5"/>
  <c r="BP135" i="5" s="1"/>
  <c r="AY135" i="5"/>
  <c r="AV135" i="5"/>
  <c r="BO135" i="5" s="1"/>
  <c r="AU135" i="5"/>
  <c r="BN135" i="5" s="1"/>
  <c r="CI199" i="5"/>
  <c r="CK199" i="5"/>
  <c r="CF199" i="5"/>
  <c r="CE199" i="5"/>
  <c r="CC199" i="5"/>
  <c r="BU199" i="5"/>
  <c r="BY199" i="5"/>
  <c r="BV199" i="5"/>
  <c r="CD199" i="5"/>
  <c r="BI199" i="5"/>
  <c r="CA199" i="5"/>
  <c r="BR199" i="5"/>
  <c r="BJ199" i="5"/>
  <c r="BS199" i="5"/>
  <c r="BM199" i="5"/>
  <c r="BW199" i="5"/>
  <c r="BG199" i="5"/>
  <c r="BQ199" i="5"/>
  <c r="BT199" i="5"/>
  <c r="BE199" i="5"/>
  <c r="AZ199" i="5"/>
  <c r="BF199" i="5"/>
  <c r="BK199" i="5"/>
  <c r="BD199" i="5"/>
  <c r="BH199" i="5"/>
  <c r="BA199" i="5"/>
  <c r="BP199" i="5" s="1"/>
  <c r="AY199" i="5"/>
  <c r="AV199" i="5"/>
  <c r="BO199" i="5" s="1"/>
  <c r="AU199" i="5"/>
  <c r="BN199" i="5" s="1"/>
  <c r="CI56" i="5"/>
  <c r="CK56" i="5"/>
  <c r="CE56" i="5"/>
  <c r="CF56" i="5"/>
  <c r="CC56" i="5"/>
  <c r="CD56" i="5"/>
  <c r="BY56" i="5"/>
  <c r="BV56" i="5"/>
  <c r="BW56" i="5"/>
  <c r="BR56" i="5"/>
  <c r="BS56" i="5"/>
  <c r="CA56" i="5"/>
  <c r="BT56" i="5"/>
  <c r="BM56" i="5"/>
  <c r="BD56" i="5"/>
  <c r="BH56" i="5"/>
  <c r="BU56" i="5"/>
  <c r="BQ56" i="5"/>
  <c r="BA56" i="5"/>
  <c r="BP56" i="5" s="1"/>
  <c r="BF56" i="5"/>
  <c r="BK56" i="5"/>
  <c r="BE56" i="5"/>
  <c r="BG56" i="5"/>
  <c r="BI56" i="5"/>
  <c r="BJ56" i="5"/>
  <c r="AZ56" i="5"/>
  <c r="AY56" i="5"/>
  <c r="AU56" i="5"/>
  <c r="BN56" i="5" s="1"/>
  <c r="AV56" i="5"/>
  <c r="BO56" i="5" s="1"/>
  <c r="CI128" i="5"/>
  <c r="CK128" i="5"/>
  <c r="CE128" i="5"/>
  <c r="CF128" i="5"/>
  <c r="CD128" i="5"/>
  <c r="BY128" i="5"/>
  <c r="BV128" i="5"/>
  <c r="BW128" i="5"/>
  <c r="BR128" i="5"/>
  <c r="BS128" i="5"/>
  <c r="CC128" i="5"/>
  <c r="CA128" i="5"/>
  <c r="BU128" i="5"/>
  <c r="BT128" i="5"/>
  <c r="BD128" i="5"/>
  <c r="BQ128" i="5"/>
  <c r="BK128" i="5"/>
  <c r="BH128" i="5"/>
  <c r="BA128" i="5"/>
  <c r="BP128" i="5" s="1"/>
  <c r="BM128" i="5"/>
  <c r="BF128" i="5"/>
  <c r="BI128" i="5"/>
  <c r="BE128" i="5"/>
  <c r="BJ128" i="5"/>
  <c r="BG128" i="5"/>
  <c r="AZ128" i="5"/>
  <c r="AY128" i="5"/>
  <c r="AV128" i="5"/>
  <c r="BO128" i="5" s="1"/>
  <c r="AU128" i="5"/>
  <c r="BB128" i="5" s="1"/>
  <c r="CI192" i="5"/>
  <c r="CK192" i="5"/>
  <c r="CF192" i="5"/>
  <c r="CD192" i="5"/>
  <c r="BY192" i="5"/>
  <c r="CE192" i="5"/>
  <c r="BW192" i="5"/>
  <c r="CA192" i="5"/>
  <c r="BR192" i="5"/>
  <c r="BS192" i="5"/>
  <c r="BU192" i="5"/>
  <c r="BD192" i="5"/>
  <c r="BK192" i="5"/>
  <c r="BH192" i="5"/>
  <c r="BV192" i="5"/>
  <c r="BA192" i="5"/>
  <c r="BT192" i="5"/>
  <c r="CC192" i="5"/>
  <c r="BQ192" i="5"/>
  <c r="BJ192" i="5"/>
  <c r="BE192" i="5"/>
  <c r="BG192" i="5"/>
  <c r="BF192" i="5"/>
  <c r="BM192" i="5"/>
  <c r="BI192" i="5"/>
  <c r="AZ192" i="5"/>
  <c r="AY192" i="5"/>
  <c r="AV192" i="5"/>
  <c r="AU192" i="5"/>
  <c r="CH58" i="5"/>
  <c r="CG58" i="5"/>
  <c r="CJ58" i="5"/>
  <c r="CI58" i="5"/>
  <c r="CK58" i="5"/>
  <c r="CF58" i="5"/>
  <c r="CA58" i="5"/>
  <c r="CE58" i="5"/>
  <c r="BZ58" i="5"/>
  <c r="BT58" i="5"/>
  <c r="CD58" i="5"/>
  <c r="CC58" i="5"/>
  <c r="BY58" i="5"/>
  <c r="BU58" i="5"/>
  <c r="BQ58" i="5"/>
  <c r="BI58" i="5"/>
  <c r="BL58" i="5"/>
  <c r="BX58" i="5"/>
  <c r="BR58" i="5"/>
  <c r="BF58" i="5"/>
  <c r="BM58" i="5"/>
  <c r="BV58" i="5"/>
  <c r="BS58" i="5"/>
  <c r="BW58" i="5"/>
  <c r="BK58" i="5"/>
  <c r="BD58" i="5"/>
  <c r="AY58" i="5"/>
  <c r="BJ58" i="5"/>
  <c r="BH58" i="5"/>
  <c r="BE58" i="5"/>
  <c r="BG58" i="5"/>
  <c r="BA58" i="5"/>
  <c r="BP58" i="5" s="1"/>
  <c r="AZ58" i="5"/>
  <c r="AU58" i="5"/>
  <c r="BN58" i="5" s="1"/>
  <c r="AV58" i="5"/>
  <c r="BO58" i="5" s="1"/>
  <c r="CK129" i="5"/>
  <c r="CF129" i="5"/>
  <c r="CE129" i="5"/>
  <c r="CI129" i="5"/>
  <c r="CD129" i="5"/>
  <c r="CC129" i="5"/>
  <c r="BY129" i="5"/>
  <c r="BV129" i="5"/>
  <c r="BQ129" i="5"/>
  <c r="BK129" i="5"/>
  <c r="CA129" i="5"/>
  <c r="BT129" i="5"/>
  <c r="BM129" i="5"/>
  <c r="BW129" i="5"/>
  <c r="BS129" i="5"/>
  <c r="BR129" i="5"/>
  <c r="BI129" i="5"/>
  <c r="BE129" i="5"/>
  <c r="BU129" i="5"/>
  <c r="BG129" i="5"/>
  <c r="BF129" i="5"/>
  <c r="BH129" i="5"/>
  <c r="BJ129" i="5"/>
  <c r="BD129" i="5"/>
  <c r="BA129" i="5"/>
  <c r="BP129" i="5" s="1"/>
  <c r="AZ129" i="5"/>
  <c r="AY129" i="5"/>
  <c r="AU129" i="5"/>
  <c r="BN129" i="5" s="1"/>
  <c r="AV129" i="5"/>
  <c r="BO129" i="5" s="1"/>
  <c r="CK193" i="5"/>
  <c r="CF193" i="5"/>
  <c r="CI193" i="5"/>
  <c r="CE193" i="5"/>
  <c r="CD193" i="5"/>
  <c r="CA193" i="5"/>
  <c r="BQ193" i="5"/>
  <c r="BK193" i="5"/>
  <c r="CC193" i="5"/>
  <c r="BY193" i="5"/>
  <c r="BT193" i="5"/>
  <c r="BM193" i="5"/>
  <c r="BR193" i="5"/>
  <c r="BS193" i="5"/>
  <c r="BW193" i="5"/>
  <c r="BI193" i="5"/>
  <c r="BE193" i="5"/>
  <c r="BV193" i="5"/>
  <c r="BU193" i="5"/>
  <c r="BG193" i="5"/>
  <c r="BJ193" i="5"/>
  <c r="BD193" i="5"/>
  <c r="BF193" i="5"/>
  <c r="BH193" i="5"/>
  <c r="BA193" i="5"/>
  <c r="BP193" i="5" s="1"/>
  <c r="AZ193" i="5"/>
  <c r="AY193" i="5"/>
  <c r="AU193" i="5"/>
  <c r="BB193" i="5" s="1"/>
  <c r="AV193" i="5"/>
  <c r="BO193" i="5" s="1"/>
  <c r="CI31" i="5"/>
  <c r="CK31" i="5"/>
  <c r="CE31" i="5"/>
  <c r="CC31" i="5"/>
  <c r="CD31" i="5"/>
  <c r="BY31" i="5"/>
  <c r="CF31" i="5"/>
  <c r="BU31" i="5"/>
  <c r="BM31" i="5"/>
  <c r="BW31" i="5"/>
  <c r="CA31" i="5"/>
  <c r="BI31" i="5"/>
  <c r="BV31" i="5"/>
  <c r="BS31" i="5"/>
  <c r="BJ31" i="5"/>
  <c r="BQ31" i="5"/>
  <c r="BG31" i="5"/>
  <c r="BR31" i="5"/>
  <c r="BT31" i="5"/>
  <c r="BD31" i="5"/>
  <c r="BF31" i="5"/>
  <c r="AZ31" i="5"/>
  <c r="BH31" i="5"/>
  <c r="BE31" i="5"/>
  <c r="BK31" i="5"/>
  <c r="BA31" i="5"/>
  <c r="BP31" i="5" s="1"/>
  <c r="AY31" i="5"/>
  <c r="AU31" i="5"/>
  <c r="BB31" i="5" s="1"/>
  <c r="AV31" i="5"/>
  <c r="BO31" i="5" s="1"/>
  <c r="CJ104" i="5"/>
  <c r="CI104" i="5"/>
  <c r="CK104" i="5"/>
  <c r="CH104" i="5"/>
  <c r="CE104" i="5"/>
  <c r="CG104" i="5"/>
  <c r="CF104" i="5"/>
  <c r="CC104" i="5"/>
  <c r="CD104" i="5"/>
  <c r="BY104" i="5"/>
  <c r="BZ104" i="5"/>
  <c r="BV104" i="5"/>
  <c r="CA104" i="5"/>
  <c r="BW104" i="5"/>
  <c r="BR104" i="5"/>
  <c r="BS104" i="5"/>
  <c r="BT104" i="5"/>
  <c r="BU104" i="5"/>
  <c r="BD104" i="5"/>
  <c r="BH104" i="5"/>
  <c r="BX104" i="5"/>
  <c r="BQ104" i="5"/>
  <c r="BA104" i="5"/>
  <c r="BP104" i="5" s="1"/>
  <c r="BM104" i="5"/>
  <c r="BI104" i="5"/>
  <c r="BJ104" i="5"/>
  <c r="BF104" i="5"/>
  <c r="BK104" i="5"/>
  <c r="BL104" i="5"/>
  <c r="BG104" i="5"/>
  <c r="AZ104" i="5"/>
  <c r="AY104" i="5"/>
  <c r="BE104" i="5"/>
  <c r="AU104" i="5"/>
  <c r="BN104" i="5" s="1"/>
  <c r="AV104" i="5"/>
  <c r="BC104" i="5" s="1"/>
  <c r="CI170" i="5"/>
  <c r="CK170" i="5"/>
  <c r="CE170" i="5"/>
  <c r="CC170" i="5"/>
  <c r="CA170" i="5"/>
  <c r="BY170" i="5"/>
  <c r="CD170" i="5"/>
  <c r="BW170" i="5"/>
  <c r="BT170" i="5"/>
  <c r="CF170" i="5"/>
  <c r="BU170" i="5"/>
  <c r="BS170" i="5"/>
  <c r="BI170" i="5"/>
  <c r="BV170" i="5"/>
  <c r="BM170" i="5"/>
  <c r="BF170" i="5"/>
  <c r="BQ170" i="5"/>
  <c r="BD170" i="5"/>
  <c r="BR170" i="5"/>
  <c r="AY170" i="5"/>
  <c r="BK170" i="5"/>
  <c r="BH170" i="5"/>
  <c r="BE170" i="5"/>
  <c r="BG170" i="5"/>
  <c r="BJ170" i="5"/>
  <c r="BA170" i="5"/>
  <c r="BP170" i="5" s="1"/>
  <c r="AZ170" i="5"/>
  <c r="AV170" i="5"/>
  <c r="BO170" i="5" s="1"/>
  <c r="AU170" i="5"/>
  <c r="BN170" i="5" s="1"/>
  <c r="CI23" i="5"/>
  <c r="CK23" i="5"/>
  <c r="CF23" i="5"/>
  <c r="CE23" i="5"/>
  <c r="CD23" i="5"/>
  <c r="BW23" i="5"/>
  <c r="CC23" i="5"/>
  <c r="BY23" i="5"/>
  <c r="BU23" i="5"/>
  <c r="BM23" i="5"/>
  <c r="BQ23" i="5"/>
  <c r="BI23" i="5"/>
  <c r="CA23" i="5"/>
  <c r="BT23" i="5"/>
  <c r="BJ23" i="5"/>
  <c r="BV23" i="5"/>
  <c r="BG23" i="5"/>
  <c r="BR23" i="5"/>
  <c r="BK23" i="5"/>
  <c r="BE23" i="5"/>
  <c r="BS23" i="5"/>
  <c r="AZ23" i="5"/>
  <c r="BD23" i="5"/>
  <c r="BF23" i="5"/>
  <c r="BH23" i="5"/>
  <c r="BA23" i="5"/>
  <c r="BP23" i="5" s="1"/>
  <c r="AY23" i="5"/>
  <c r="AV23" i="5"/>
  <c r="BO23" i="5" s="1"/>
  <c r="AU23" i="5"/>
  <c r="BB23" i="5" s="1"/>
  <c r="CI96" i="5"/>
  <c r="CK96" i="5"/>
  <c r="CH96" i="5"/>
  <c r="CE96" i="5"/>
  <c r="CF96" i="5"/>
  <c r="CC96" i="5"/>
  <c r="CD96" i="5"/>
  <c r="CJ96" i="5"/>
  <c r="BY96" i="5"/>
  <c r="BZ96" i="5"/>
  <c r="BV96" i="5"/>
  <c r="BX96" i="5"/>
  <c r="BW96" i="5"/>
  <c r="CG96" i="5"/>
  <c r="BR96" i="5"/>
  <c r="BS96" i="5"/>
  <c r="BU96" i="5"/>
  <c r="CA96" i="5"/>
  <c r="BL96" i="5"/>
  <c r="BD96" i="5"/>
  <c r="BK96" i="5"/>
  <c r="BH96" i="5"/>
  <c r="BQ96" i="5"/>
  <c r="BI96" i="5"/>
  <c r="BA96" i="5"/>
  <c r="BP96" i="5" s="1"/>
  <c r="BT96" i="5"/>
  <c r="BJ96" i="5"/>
  <c r="BG96" i="5"/>
  <c r="BM96" i="5"/>
  <c r="BF96" i="5"/>
  <c r="AZ96" i="5"/>
  <c r="BE96" i="5"/>
  <c r="AY96" i="5"/>
  <c r="AV96" i="5"/>
  <c r="BC96" i="5" s="1"/>
  <c r="AU96" i="5"/>
  <c r="BB96" i="5" s="1"/>
  <c r="CI163" i="5"/>
  <c r="CJ163" i="5"/>
  <c r="CG163" i="5"/>
  <c r="CE163" i="5"/>
  <c r="CF163" i="5"/>
  <c r="CC163" i="5"/>
  <c r="BY163" i="5"/>
  <c r="BV163" i="5"/>
  <c r="CK163" i="5"/>
  <c r="CH163" i="5"/>
  <c r="CA163" i="5"/>
  <c r="BQ163" i="5"/>
  <c r="BZ163" i="5"/>
  <c r="BX163" i="5"/>
  <c r="BW163" i="5"/>
  <c r="BR163" i="5"/>
  <c r="CD163" i="5"/>
  <c r="BL163" i="5"/>
  <c r="BT163" i="5"/>
  <c r="BS163" i="5"/>
  <c r="BU163" i="5"/>
  <c r="BJ163" i="5"/>
  <c r="BM163" i="5"/>
  <c r="BG163" i="5"/>
  <c r="AZ163" i="5"/>
  <c r="BH163" i="5"/>
  <c r="BI163" i="5"/>
  <c r="BD163" i="5"/>
  <c r="BF163" i="5"/>
  <c r="BK163" i="5"/>
  <c r="BE163" i="5"/>
  <c r="BA163" i="5"/>
  <c r="BP163" i="5" s="1"/>
  <c r="AY163" i="5"/>
  <c r="AU163" i="5"/>
  <c r="BN163" i="5" s="1"/>
  <c r="AV163" i="5"/>
  <c r="BO163" i="5" s="1"/>
  <c r="CI79" i="5"/>
  <c r="CK79" i="5"/>
  <c r="CE79" i="5"/>
  <c r="CF79" i="5"/>
  <c r="CA79" i="5"/>
  <c r="CD79" i="5"/>
  <c r="CC79" i="5"/>
  <c r="BU79" i="5"/>
  <c r="BI79" i="5"/>
  <c r="BY79" i="5"/>
  <c r="BJ79" i="5"/>
  <c r="BR79" i="5"/>
  <c r="BG79" i="5"/>
  <c r="BW79" i="5"/>
  <c r="BT79" i="5"/>
  <c r="BS79" i="5"/>
  <c r="BQ79" i="5"/>
  <c r="BK79" i="5"/>
  <c r="BF79" i="5"/>
  <c r="BV79" i="5"/>
  <c r="BD79" i="5"/>
  <c r="AZ79" i="5"/>
  <c r="BE79" i="5"/>
  <c r="BM79" i="5"/>
  <c r="BH79" i="5"/>
  <c r="AY79" i="5"/>
  <c r="BA79" i="5"/>
  <c r="BP79" i="5" s="1"/>
  <c r="AV79" i="5"/>
  <c r="BC79" i="5" s="1"/>
  <c r="AU79" i="5"/>
  <c r="BN79" i="5" s="1"/>
  <c r="CI148" i="5"/>
  <c r="CK148" i="5"/>
  <c r="CE148" i="5"/>
  <c r="CF148" i="5"/>
  <c r="CC148" i="5"/>
  <c r="CA148" i="5"/>
  <c r="BW148" i="5"/>
  <c r="BY148" i="5"/>
  <c r="BJ148" i="5"/>
  <c r="CD148" i="5"/>
  <c r="BS148" i="5"/>
  <c r="BK148" i="5"/>
  <c r="BT148" i="5"/>
  <c r="BH148" i="5"/>
  <c r="BQ148" i="5"/>
  <c r="BM148" i="5"/>
  <c r="BD148" i="5"/>
  <c r="BU148" i="5"/>
  <c r="BV148" i="5"/>
  <c r="BR148" i="5"/>
  <c r="BF148" i="5"/>
  <c r="BA148" i="5"/>
  <c r="BP148" i="5" s="1"/>
  <c r="BG148" i="5"/>
  <c r="BI148" i="5"/>
  <c r="BE148" i="5"/>
  <c r="AZ148" i="5"/>
  <c r="AY148" i="5"/>
  <c r="AU148" i="5"/>
  <c r="BN148" i="5" s="1"/>
  <c r="AV148" i="5"/>
  <c r="BO148" i="5" s="1"/>
  <c r="CK7" i="5"/>
  <c r="CG7" i="5"/>
  <c r="CJ7" i="5"/>
  <c r="CI7" i="5"/>
  <c r="CE7" i="5"/>
  <c r="CD7" i="5"/>
  <c r="CA7" i="5"/>
  <c r="BX7" i="5"/>
  <c r="BV7" i="5"/>
  <c r="BU7" i="5"/>
  <c r="BM7" i="5"/>
  <c r="CF7" i="5"/>
  <c r="BZ7" i="5"/>
  <c r="BI7" i="5"/>
  <c r="CC7" i="5"/>
  <c r="CH7" i="5"/>
  <c r="BR7" i="5"/>
  <c r="BL7" i="5"/>
  <c r="BJ7" i="5"/>
  <c r="BS7" i="5"/>
  <c r="BY7" i="5"/>
  <c r="BW7" i="5"/>
  <c r="BQ7" i="5"/>
  <c r="BG7" i="5"/>
  <c r="BT7" i="5"/>
  <c r="BE7" i="5"/>
  <c r="AZ7" i="5"/>
  <c r="BD7" i="5"/>
  <c r="BK7" i="5"/>
  <c r="BF7" i="5"/>
  <c r="BH7" i="5"/>
  <c r="AY7" i="5"/>
  <c r="BA7" i="5"/>
  <c r="AV7" i="5"/>
  <c r="AU7" i="5"/>
  <c r="CI80" i="5"/>
  <c r="CK80" i="5"/>
  <c r="CE80" i="5"/>
  <c r="CF80" i="5"/>
  <c r="CC80" i="5"/>
  <c r="CD80" i="5"/>
  <c r="BY80" i="5"/>
  <c r="BV80" i="5"/>
  <c r="BW80" i="5"/>
  <c r="BR80" i="5"/>
  <c r="BS80" i="5"/>
  <c r="CA80" i="5"/>
  <c r="BQ80" i="5"/>
  <c r="BK80" i="5"/>
  <c r="BD80" i="5"/>
  <c r="BT80" i="5"/>
  <c r="BH80" i="5"/>
  <c r="BM80" i="5"/>
  <c r="BA80" i="5"/>
  <c r="BP80" i="5" s="1"/>
  <c r="BU80" i="5"/>
  <c r="BI80" i="5"/>
  <c r="BJ80" i="5"/>
  <c r="BF80" i="5"/>
  <c r="BG80" i="5"/>
  <c r="BE80" i="5"/>
  <c r="AZ80" i="5"/>
  <c r="AY80" i="5"/>
  <c r="AV80" i="5"/>
  <c r="BC80" i="5" s="1"/>
  <c r="AU80" i="5"/>
  <c r="BN80" i="5" s="1"/>
  <c r="CK149" i="5"/>
  <c r="CI149" i="5"/>
  <c r="CF149" i="5"/>
  <c r="CD149" i="5"/>
  <c r="CC149" i="5"/>
  <c r="CA149" i="5"/>
  <c r="BY149" i="5"/>
  <c r="BW149" i="5"/>
  <c r="CE149" i="5"/>
  <c r="BS149" i="5"/>
  <c r="BT149" i="5"/>
  <c r="BU149" i="5"/>
  <c r="BV149" i="5"/>
  <c r="BE149" i="5"/>
  <c r="BR149" i="5"/>
  <c r="BQ149" i="5"/>
  <c r="BD149" i="5"/>
  <c r="BM149" i="5"/>
  <c r="BK149" i="5"/>
  <c r="BG149" i="5"/>
  <c r="BF149" i="5"/>
  <c r="BI149" i="5"/>
  <c r="BH149" i="5"/>
  <c r="BJ149" i="5"/>
  <c r="BA149" i="5"/>
  <c r="BP149" i="5" s="1"/>
  <c r="CB149" i="5" s="1"/>
  <c r="AZ149" i="5"/>
  <c r="AY149" i="5"/>
  <c r="AU149" i="5"/>
  <c r="BN149" i="5" s="1"/>
  <c r="AV149" i="5"/>
  <c r="BC149" i="5" s="1"/>
  <c r="CI63" i="5"/>
  <c r="CK63" i="5"/>
  <c r="CE63" i="5"/>
  <c r="CF63" i="5"/>
  <c r="CC63" i="5"/>
  <c r="CD63" i="5"/>
  <c r="BY63" i="5"/>
  <c r="CA63" i="5"/>
  <c r="BW63" i="5"/>
  <c r="BU63" i="5"/>
  <c r="BI63" i="5"/>
  <c r="BS63" i="5"/>
  <c r="BJ63" i="5"/>
  <c r="BT63" i="5"/>
  <c r="BQ63" i="5"/>
  <c r="BG63" i="5"/>
  <c r="BM63" i="5"/>
  <c r="BV63" i="5"/>
  <c r="BD63" i="5"/>
  <c r="BR63" i="5"/>
  <c r="BF63" i="5"/>
  <c r="AZ63" i="5"/>
  <c r="BK63" i="5"/>
  <c r="BH63" i="5"/>
  <c r="BE63" i="5"/>
  <c r="BA63" i="5"/>
  <c r="BP63" i="5" s="1"/>
  <c r="AY63" i="5"/>
  <c r="AV63" i="5"/>
  <c r="BO63" i="5" s="1"/>
  <c r="AU63" i="5"/>
  <c r="BB63" i="5" s="1"/>
  <c r="CK134" i="5"/>
  <c r="CF134" i="5"/>
  <c r="CI134" i="5"/>
  <c r="CD134" i="5"/>
  <c r="CC134" i="5"/>
  <c r="CE134" i="5"/>
  <c r="CA134" i="5"/>
  <c r="BQ134" i="5"/>
  <c r="BS134" i="5"/>
  <c r="BM134" i="5"/>
  <c r="BT134" i="5"/>
  <c r="BY134" i="5"/>
  <c r="BR134" i="5"/>
  <c r="BK134" i="5"/>
  <c r="BU134" i="5"/>
  <c r="BI134" i="5"/>
  <c r="BF134" i="5"/>
  <c r="BW134" i="5"/>
  <c r="BG134" i="5"/>
  <c r="AY134" i="5"/>
  <c r="BV134" i="5"/>
  <c r="BJ134" i="5"/>
  <c r="BH134" i="5"/>
  <c r="BE134" i="5"/>
  <c r="BD134" i="5"/>
  <c r="AZ134" i="5"/>
  <c r="BA134" i="5"/>
  <c r="BP134" i="5" s="1"/>
  <c r="AV134" i="5"/>
  <c r="BO134" i="5" s="1"/>
  <c r="AU134" i="5"/>
  <c r="BN134" i="5" s="1"/>
  <c r="CK198" i="5"/>
  <c r="CF198" i="5"/>
  <c r="CD198" i="5"/>
  <c r="CI198" i="5"/>
  <c r="CE198" i="5"/>
  <c r="CC198" i="5"/>
  <c r="CG198" i="5"/>
  <c r="CA198" i="5"/>
  <c r="BQ198" i="5"/>
  <c r="BS198" i="5"/>
  <c r="BM198" i="5"/>
  <c r="BV198" i="5"/>
  <c r="BT198" i="5"/>
  <c r="BK198" i="5"/>
  <c r="BI198" i="5"/>
  <c r="BF198" i="5"/>
  <c r="BW198" i="5"/>
  <c r="BR198" i="5"/>
  <c r="BG198" i="5"/>
  <c r="AY198" i="5"/>
  <c r="BU198" i="5"/>
  <c r="BY198" i="5"/>
  <c r="BH198" i="5"/>
  <c r="BJ198" i="5"/>
  <c r="BE198" i="5"/>
  <c r="AZ198" i="5"/>
  <c r="BD198" i="5"/>
  <c r="BA198" i="5"/>
  <c r="BP198" i="5" s="1"/>
  <c r="AV198" i="5"/>
  <c r="BC198" i="5" s="1"/>
  <c r="AU198" i="5"/>
  <c r="BN198" i="5" s="1"/>
  <c r="CG33" i="5"/>
  <c r="CK33" i="5"/>
  <c r="CF33" i="5"/>
  <c r="CI33" i="5"/>
  <c r="CE33" i="5"/>
  <c r="BW33" i="5"/>
  <c r="CD33" i="5"/>
  <c r="CA33" i="5"/>
  <c r="BV33" i="5"/>
  <c r="CC33" i="5"/>
  <c r="BY33" i="5"/>
  <c r="BQ33" i="5"/>
  <c r="BK33" i="5"/>
  <c r="BT33" i="5"/>
  <c r="BU33" i="5"/>
  <c r="BI33" i="5"/>
  <c r="BE33" i="5"/>
  <c r="BM33" i="5"/>
  <c r="BS33" i="5"/>
  <c r="BR33" i="5"/>
  <c r="BG33" i="5"/>
  <c r="BF33" i="5"/>
  <c r="BH33" i="5"/>
  <c r="BJ33" i="5"/>
  <c r="BA33" i="5"/>
  <c r="BP33" i="5" s="1"/>
  <c r="BD33" i="5"/>
  <c r="AZ33" i="5"/>
  <c r="AY33" i="5"/>
  <c r="AV33" i="5"/>
  <c r="BO33" i="5" s="1"/>
  <c r="AU33" i="5"/>
  <c r="BN33" i="5" s="1"/>
  <c r="CK65" i="5"/>
  <c r="CF65" i="5"/>
  <c r="CI65" i="5"/>
  <c r="CC65" i="5"/>
  <c r="CD65" i="5"/>
  <c r="BV65" i="5"/>
  <c r="CE65" i="5"/>
  <c r="BQ65" i="5"/>
  <c r="BK65" i="5"/>
  <c r="BT65" i="5"/>
  <c r="BM65" i="5"/>
  <c r="CA65" i="5"/>
  <c r="BR65" i="5"/>
  <c r="BS65" i="5"/>
  <c r="BI65" i="5"/>
  <c r="BY65" i="5"/>
  <c r="BW65" i="5"/>
  <c r="BE65" i="5"/>
  <c r="BU65" i="5"/>
  <c r="BG65" i="5"/>
  <c r="BJ65" i="5"/>
  <c r="BD65" i="5"/>
  <c r="BF65" i="5"/>
  <c r="BH65" i="5"/>
  <c r="BA65" i="5"/>
  <c r="BP65" i="5" s="1"/>
  <c r="AZ65" i="5"/>
  <c r="AY65" i="5"/>
  <c r="AU65" i="5"/>
  <c r="BB65" i="5" s="1"/>
  <c r="AV65" i="5"/>
  <c r="BO65" i="5" s="1"/>
  <c r="CK97" i="5"/>
  <c r="CF97" i="5"/>
  <c r="CD97" i="5"/>
  <c r="CC97" i="5"/>
  <c r="CI97" i="5"/>
  <c r="CE97" i="5"/>
  <c r="CA97" i="5"/>
  <c r="BV97" i="5"/>
  <c r="BQ97" i="5"/>
  <c r="BK97" i="5"/>
  <c r="BT97" i="5"/>
  <c r="BM97" i="5"/>
  <c r="BU97" i="5"/>
  <c r="BY97" i="5"/>
  <c r="BR97" i="5"/>
  <c r="BI97" i="5"/>
  <c r="BE97" i="5"/>
  <c r="BW97" i="5"/>
  <c r="BS97" i="5"/>
  <c r="BG97" i="5"/>
  <c r="BJ97" i="5"/>
  <c r="BH97" i="5"/>
  <c r="BF97" i="5"/>
  <c r="BA97" i="5"/>
  <c r="BP97" i="5" s="1"/>
  <c r="AZ97" i="5"/>
  <c r="BD97" i="5"/>
  <c r="AY97" i="5"/>
  <c r="AV97" i="5"/>
  <c r="BC97" i="5" s="1"/>
  <c r="AU97" i="5"/>
  <c r="BN97" i="5" s="1"/>
  <c r="AT209" i="5"/>
  <c r="AT210" i="5" s="1"/>
  <c r="AS209" i="5"/>
  <c r="AS210" i="5" s="1"/>
  <c r="CI2" i="5"/>
  <c r="CK2" i="5"/>
  <c r="CF2" i="5"/>
  <c r="CE2" i="5"/>
  <c r="CA2" i="5"/>
  <c r="CD2" i="5"/>
  <c r="BU2" i="5"/>
  <c r="CC2" i="5"/>
  <c r="BV2" i="5"/>
  <c r="BI2" i="5"/>
  <c r="BJ2" i="5"/>
  <c r="BY2" i="5"/>
  <c r="BR2" i="5"/>
  <c r="BS2" i="5"/>
  <c r="BG2" i="5"/>
  <c r="BW2" i="5"/>
  <c r="BT2" i="5"/>
  <c r="BQ2" i="5"/>
  <c r="BK2" i="5"/>
  <c r="BF2" i="5"/>
  <c r="BM2" i="5"/>
  <c r="BD2" i="5"/>
  <c r="AZ2" i="5"/>
  <c r="BE2" i="5"/>
  <c r="BH2" i="5"/>
  <c r="AY2" i="5"/>
  <c r="BA2" i="5"/>
  <c r="BP2" i="5" s="1"/>
  <c r="AU2" i="5"/>
  <c r="BB2" i="5" s="1"/>
  <c r="AV2" i="5"/>
  <c r="CI67" i="5"/>
  <c r="CE67" i="5"/>
  <c r="CC67" i="5"/>
  <c r="BY67" i="5"/>
  <c r="BV67" i="5"/>
  <c r="CD67" i="5"/>
  <c r="CK67" i="5"/>
  <c r="BQ67" i="5"/>
  <c r="CF67" i="5"/>
  <c r="BW67" i="5"/>
  <c r="BR67" i="5"/>
  <c r="CA67" i="5"/>
  <c r="BU67" i="5"/>
  <c r="BJ67" i="5"/>
  <c r="BG67" i="5"/>
  <c r="AZ67" i="5"/>
  <c r="BT67" i="5"/>
  <c r="BM67" i="5"/>
  <c r="BS67" i="5"/>
  <c r="BH67" i="5"/>
  <c r="BI67" i="5"/>
  <c r="BK67" i="5"/>
  <c r="BE67" i="5"/>
  <c r="BA67" i="5"/>
  <c r="BP67" i="5" s="1"/>
  <c r="BD67" i="5"/>
  <c r="BF67" i="5"/>
  <c r="AY67" i="5"/>
  <c r="AU67" i="5"/>
  <c r="BN67" i="5" s="1"/>
  <c r="AV67" i="5"/>
  <c r="BO67" i="5" s="1"/>
  <c r="CK114" i="5"/>
  <c r="CI114" i="5"/>
  <c r="CE114" i="5"/>
  <c r="CC114" i="5"/>
  <c r="CA114" i="5"/>
  <c r="BV114" i="5"/>
  <c r="BT114" i="5"/>
  <c r="CF114" i="5"/>
  <c r="BY114" i="5"/>
  <c r="BU114" i="5"/>
  <c r="CD114" i="5"/>
  <c r="BR114" i="5"/>
  <c r="BI114" i="5"/>
  <c r="BS114" i="5"/>
  <c r="BM114" i="5"/>
  <c r="BF114" i="5"/>
  <c r="BW114" i="5"/>
  <c r="BQ114" i="5"/>
  <c r="BE114" i="5"/>
  <c r="AY114" i="5"/>
  <c r="BJ114" i="5"/>
  <c r="BK114" i="5"/>
  <c r="BH114" i="5"/>
  <c r="BG114" i="5"/>
  <c r="BD114" i="5"/>
  <c r="AZ114" i="5"/>
  <c r="BA114" i="5"/>
  <c r="BP114" i="5" s="1"/>
  <c r="AV114" i="5"/>
  <c r="BO114" i="5" s="1"/>
  <c r="AU114" i="5"/>
  <c r="BN114" i="5" s="1"/>
  <c r="CI171" i="5"/>
  <c r="CK171" i="5"/>
  <c r="BY171" i="5"/>
  <c r="BV171" i="5"/>
  <c r="CC171" i="5"/>
  <c r="BQ171" i="5"/>
  <c r="BR171" i="5"/>
  <c r="CF171" i="5"/>
  <c r="CD171" i="5"/>
  <c r="CE171" i="5"/>
  <c r="CA171" i="5"/>
  <c r="BU171" i="5"/>
  <c r="BS171" i="5"/>
  <c r="BK171" i="5"/>
  <c r="BG171" i="5"/>
  <c r="BM171" i="5"/>
  <c r="AZ171" i="5"/>
  <c r="BT171" i="5"/>
  <c r="BW171" i="5"/>
  <c r="BJ171" i="5"/>
  <c r="BF171" i="5"/>
  <c r="BH171" i="5"/>
  <c r="BE171" i="5"/>
  <c r="BI171" i="5"/>
  <c r="BD171" i="5"/>
  <c r="BA171" i="5"/>
  <c r="BP171" i="5" s="1"/>
  <c r="AY171" i="5"/>
  <c r="AU171" i="5"/>
  <c r="BN171" i="5" s="1"/>
  <c r="AV171" i="5"/>
  <c r="BC171" i="5" s="1"/>
  <c r="CK15" i="5"/>
  <c r="CH15" i="5"/>
  <c r="CI15" i="5"/>
  <c r="CF15" i="5"/>
  <c r="CG15" i="5"/>
  <c r="CE15" i="5"/>
  <c r="CJ15" i="5"/>
  <c r="BX15" i="5"/>
  <c r="CA15" i="5"/>
  <c r="CC15" i="5"/>
  <c r="BZ15" i="5"/>
  <c r="BU15" i="5"/>
  <c r="BM15" i="5"/>
  <c r="CD15" i="5"/>
  <c r="BY15" i="5"/>
  <c r="BI15" i="5"/>
  <c r="BW15" i="5"/>
  <c r="BJ15" i="5"/>
  <c r="BR15" i="5"/>
  <c r="BT15" i="5"/>
  <c r="BG15" i="5"/>
  <c r="BQ15" i="5"/>
  <c r="BH15" i="5"/>
  <c r="BV15" i="5"/>
  <c r="BF15" i="5"/>
  <c r="BS15" i="5"/>
  <c r="BK15" i="5"/>
  <c r="BD15" i="5"/>
  <c r="AZ15" i="5"/>
  <c r="BL15" i="5"/>
  <c r="BE15" i="5"/>
  <c r="AY15" i="5"/>
  <c r="BA15" i="5"/>
  <c r="BP15" i="5" s="1"/>
  <c r="AV15" i="5"/>
  <c r="BC15" i="5" s="1"/>
  <c r="AU15" i="5"/>
  <c r="BN15" i="5" s="1"/>
  <c r="CI88" i="5"/>
  <c r="CK88" i="5"/>
  <c r="CH88" i="5"/>
  <c r="CE88" i="5"/>
  <c r="CF88" i="5"/>
  <c r="CJ88" i="5"/>
  <c r="CG88" i="5"/>
  <c r="CC88" i="5"/>
  <c r="CD88" i="5"/>
  <c r="BY88" i="5"/>
  <c r="BX88" i="5"/>
  <c r="BZ88" i="5"/>
  <c r="BV88" i="5"/>
  <c r="BW88" i="5"/>
  <c r="BR88" i="5"/>
  <c r="BS88" i="5"/>
  <c r="CA88" i="5"/>
  <c r="BQ88" i="5"/>
  <c r="BD88" i="5"/>
  <c r="BH88" i="5"/>
  <c r="BU88" i="5"/>
  <c r="BT88" i="5"/>
  <c r="BJ88" i="5"/>
  <c r="BA88" i="5"/>
  <c r="BP88" i="5" s="1"/>
  <c r="BI88" i="5"/>
  <c r="BM88" i="5"/>
  <c r="BL88" i="5"/>
  <c r="BK88" i="5"/>
  <c r="BF88" i="5"/>
  <c r="BE88" i="5"/>
  <c r="BG88" i="5"/>
  <c r="AZ88" i="5"/>
  <c r="AY88" i="5"/>
  <c r="AV88" i="5"/>
  <c r="BC88" i="5" s="1"/>
  <c r="AU88" i="5"/>
  <c r="BN88" i="5" s="1"/>
  <c r="CI156" i="5"/>
  <c r="CK156" i="5"/>
  <c r="CE156" i="5"/>
  <c r="CF156" i="5"/>
  <c r="CD156" i="5"/>
  <c r="CC156" i="5"/>
  <c r="BJ156" i="5"/>
  <c r="BY156" i="5"/>
  <c r="BK156" i="5"/>
  <c r="CA156" i="5"/>
  <c r="BS156" i="5"/>
  <c r="BM156" i="5"/>
  <c r="BW156" i="5"/>
  <c r="BH156" i="5"/>
  <c r="BT156" i="5"/>
  <c r="BI156" i="5"/>
  <c r="BD156" i="5"/>
  <c r="BV156" i="5"/>
  <c r="BR156" i="5"/>
  <c r="BQ156" i="5"/>
  <c r="BG156" i="5"/>
  <c r="BU156" i="5"/>
  <c r="BE156" i="5"/>
  <c r="BA156" i="5"/>
  <c r="BP156" i="5" s="1"/>
  <c r="BF156" i="5"/>
  <c r="AZ156" i="5"/>
  <c r="AY156" i="5"/>
  <c r="AU156" i="5"/>
  <c r="BN156" i="5" s="1"/>
  <c r="AV156" i="5"/>
  <c r="BO156" i="5" s="1"/>
  <c r="CI16" i="5"/>
  <c r="CK16" i="5"/>
  <c r="CE16" i="5"/>
  <c r="CC16" i="5"/>
  <c r="CF16" i="5"/>
  <c r="CD16" i="5"/>
  <c r="BY16" i="5"/>
  <c r="BV16" i="5"/>
  <c r="BW16" i="5"/>
  <c r="BR16" i="5"/>
  <c r="BS16" i="5"/>
  <c r="CA16" i="5"/>
  <c r="BQ16" i="5"/>
  <c r="BK16" i="5"/>
  <c r="BD16" i="5"/>
  <c r="BM16" i="5"/>
  <c r="BU16" i="5"/>
  <c r="BA16" i="5"/>
  <c r="BP16" i="5" s="1"/>
  <c r="BT16" i="5"/>
  <c r="BF16" i="5"/>
  <c r="BH16" i="5"/>
  <c r="BI16" i="5"/>
  <c r="BE16" i="5"/>
  <c r="BJ16" i="5"/>
  <c r="BG16" i="5"/>
  <c r="AZ16" i="5"/>
  <c r="AY16" i="5"/>
  <c r="AV16" i="5"/>
  <c r="BC16" i="5" s="1"/>
  <c r="AU16" i="5"/>
  <c r="BB16" i="5" s="1"/>
  <c r="CH90" i="5"/>
  <c r="CJ90" i="5"/>
  <c r="CG90" i="5"/>
  <c r="CI90" i="5"/>
  <c r="CK90" i="5"/>
  <c r="CE90" i="5"/>
  <c r="CA90" i="5"/>
  <c r="CF90" i="5"/>
  <c r="CD90" i="5"/>
  <c r="CC90" i="5"/>
  <c r="BT90" i="5"/>
  <c r="BU90" i="5"/>
  <c r="BY90" i="5"/>
  <c r="BX90" i="5"/>
  <c r="BW90" i="5"/>
  <c r="BZ90" i="5"/>
  <c r="BQ90" i="5"/>
  <c r="BI90" i="5"/>
  <c r="BF90" i="5"/>
  <c r="BV90" i="5"/>
  <c r="BS90" i="5"/>
  <c r="BR90" i="5"/>
  <c r="BM90" i="5"/>
  <c r="BL90" i="5"/>
  <c r="BD90" i="5"/>
  <c r="AY90" i="5"/>
  <c r="BG90" i="5"/>
  <c r="BH90" i="5"/>
  <c r="BJ90" i="5"/>
  <c r="BK90" i="5"/>
  <c r="BE90" i="5"/>
  <c r="BA90" i="5"/>
  <c r="BP90" i="5" s="1"/>
  <c r="AZ90" i="5"/>
  <c r="AV90" i="5"/>
  <c r="BC90" i="5" s="1"/>
  <c r="AU90" i="5"/>
  <c r="BB90" i="5" s="1"/>
  <c r="CK157" i="5"/>
  <c r="CF157" i="5"/>
  <c r="CI157" i="5"/>
  <c r="CD157" i="5"/>
  <c r="CE157" i="5"/>
  <c r="CC157" i="5"/>
  <c r="CA157" i="5"/>
  <c r="BW157" i="5"/>
  <c r="BV157" i="5"/>
  <c r="BS157" i="5"/>
  <c r="BY157" i="5"/>
  <c r="BT157" i="5"/>
  <c r="BR157" i="5"/>
  <c r="BQ157" i="5"/>
  <c r="BE157" i="5"/>
  <c r="BU157" i="5"/>
  <c r="BM157" i="5"/>
  <c r="BI157" i="5"/>
  <c r="BF157" i="5"/>
  <c r="BJ157" i="5"/>
  <c r="BH157" i="5"/>
  <c r="BK157" i="5"/>
  <c r="BG157" i="5"/>
  <c r="BD157" i="5"/>
  <c r="AZ157" i="5"/>
  <c r="AY157" i="5"/>
  <c r="BA157" i="5"/>
  <c r="BP157" i="5" s="1"/>
  <c r="AU157" i="5"/>
  <c r="BN157" i="5" s="1"/>
  <c r="AV157" i="5"/>
  <c r="BC157" i="5" s="1"/>
  <c r="CI72" i="5"/>
  <c r="CK72" i="5"/>
  <c r="CE72" i="5"/>
  <c r="CF72" i="5"/>
  <c r="CC72" i="5"/>
  <c r="CD72" i="5"/>
  <c r="BY72" i="5"/>
  <c r="BV72" i="5"/>
  <c r="CA72" i="5"/>
  <c r="BW72" i="5"/>
  <c r="BR72" i="5"/>
  <c r="BS72" i="5"/>
  <c r="BT72" i="5"/>
  <c r="BD72" i="5"/>
  <c r="BQ72" i="5"/>
  <c r="BH72" i="5"/>
  <c r="BA72" i="5"/>
  <c r="BP72" i="5" s="1"/>
  <c r="BU72" i="5"/>
  <c r="BM72" i="5"/>
  <c r="BK72" i="5"/>
  <c r="BF72" i="5"/>
  <c r="BI72" i="5"/>
  <c r="BE72" i="5"/>
  <c r="BG72" i="5"/>
  <c r="BJ72" i="5"/>
  <c r="AZ72" i="5"/>
  <c r="AY72" i="5"/>
  <c r="AV72" i="5"/>
  <c r="BO72" i="5" s="1"/>
  <c r="AU72" i="5"/>
  <c r="BN72" i="5" s="1"/>
  <c r="CJ142" i="5"/>
  <c r="CG142" i="5"/>
  <c r="CH142" i="5"/>
  <c r="CE142" i="5"/>
  <c r="CC142" i="5"/>
  <c r="BY142" i="5"/>
  <c r="BX142" i="5"/>
  <c r="CK142" i="5"/>
  <c r="CI142" i="5"/>
  <c r="CD142" i="5"/>
  <c r="BW142" i="5"/>
  <c r="BQ142" i="5"/>
  <c r="BZ142" i="5"/>
  <c r="BR142" i="5"/>
  <c r="BM142" i="5"/>
  <c r="CF142" i="5"/>
  <c r="BU142" i="5"/>
  <c r="BS142" i="5"/>
  <c r="BV142" i="5"/>
  <c r="BT142" i="5"/>
  <c r="CA142" i="5"/>
  <c r="BL142" i="5"/>
  <c r="BJ142" i="5"/>
  <c r="BF142" i="5"/>
  <c r="AY142" i="5"/>
  <c r="BH142" i="5"/>
  <c r="BI142" i="5"/>
  <c r="BE142" i="5"/>
  <c r="BK142" i="5"/>
  <c r="BG142" i="5"/>
  <c r="BD142" i="5"/>
  <c r="BA142" i="5"/>
  <c r="BP142" i="5" s="1"/>
  <c r="AZ142" i="5"/>
  <c r="AV142" i="5"/>
  <c r="BO142" i="5" s="1"/>
  <c r="AU142" i="5"/>
  <c r="BN142" i="5" s="1"/>
  <c r="CJ206" i="5"/>
  <c r="CH206" i="5"/>
  <c r="CG206" i="5"/>
  <c r="CI206" i="5"/>
  <c r="BX206" i="5"/>
  <c r="CC206" i="5"/>
  <c r="BY206" i="5"/>
  <c r="CF206" i="5"/>
  <c r="CE206" i="5"/>
  <c r="CD206" i="5"/>
  <c r="CA206" i="5"/>
  <c r="CK206" i="5"/>
  <c r="BZ206" i="5"/>
  <c r="BW206" i="5"/>
  <c r="BQ206" i="5"/>
  <c r="BR206" i="5"/>
  <c r="BM206" i="5"/>
  <c r="BU206" i="5"/>
  <c r="BT206" i="5"/>
  <c r="BS206" i="5"/>
  <c r="BJ206" i="5"/>
  <c r="BV206" i="5"/>
  <c r="BF206" i="5"/>
  <c r="AY206" i="5"/>
  <c r="BL206" i="5"/>
  <c r="BH206" i="5"/>
  <c r="BK206" i="5"/>
  <c r="BG206" i="5"/>
  <c r="BD206" i="5"/>
  <c r="BI206" i="5"/>
  <c r="BE206" i="5"/>
  <c r="BA206" i="5"/>
  <c r="BP206" i="5" s="1"/>
  <c r="AZ206" i="5"/>
  <c r="AV206" i="5"/>
  <c r="BO206" i="5" s="1"/>
  <c r="AU206" i="5"/>
  <c r="BN206" i="5" s="1"/>
  <c r="CG143" i="5"/>
  <c r="CI143" i="5"/>
  <c r="CK143" i="5"/>
  <c r="CF143" i="5"/>
  <c r="CE143" i="5"/>
  <c r="CA143" i="5"/>
  <c r="CD143" i="5"/>
  <c r="CC143" i="5"/>
  <c r="BU143" i="5"/>
  <c r="BY143" i="5"/>
  <c r="BI143" i="5"/>
  <c r="BJ143" i="5"/>
  <c r="BR143" i="5"/>
  <c r="BW143" i="5"/>
  <c r="BG143" i="5"/>
  <c r="BF143" i="5"/>
  <c r="BT143" i="5"/>
  <c r="BM143" i="5"/>
  <c r="BS143" i="5"/>
  <c r="BV143" i="5"/>
  <c r="BQ143" i="5"/>
  <c r="BK143" i="5"/>
  <c r="BD143" i="5"/>
  <c r="AZ143" i="5"/>
  <c r="BH143" i="5"/>
  <c r="BE143" i="5"/>
  <c r="AY143" i="5"/>
  <c r="BA143" i="5"/>
  <c r="BP143" i="5" s="1"/>
  <c r="AV143" i="5"/>
  <c r="BC143" i="5" s="1"/>
  <c r="AU143" i="5"/>
  <c r="BN143" i="5" s="1"/>
  <c r="CK137" i="5"/>
  <c r="CF137" i="5"/>
  <c r="CI137" i="5"/>
  <c r="CC137" i="5"/>
  <c r="BY137" i="5"/>
  <c r="CD137" i="5"/>
  <c r="BK137" i="5"/>
  <c r="CE137" i="5"/>
  <c r="CA137" i="5"/>
  <c r="BW137" i="5"/>
  <c r="BM137" i="5"/>
  <c r="BR137" i="5"/>
  <c r="BQ137" i="5"/>
  <c r="BV137" i="5"/>
  <c r="BT137" i="5"/>
  <c r="BJ137" i="5"/>
  <c r="BE137" i="5"/>
  <c r="BU137" i="5"/>
  <c r="BS137" i="5"/>
  <c r="BH137" i="5"/>
  <c r="BF137" i="5"/>
  <c r="BI137" i="5"/>
  <c r="BD137" i="5"/>
  <c r="BA137" i="5"/>
  <c r="BP137" i="5" s="1"/>
  <c r="AZ137" i="5"/>
  <c r="BG137" i="5"/>
  <c r="AY137" i="5"/>
  <c r="AV137" i="5"/>
  <c r="BC137" i="5" s="1"/>
  <c r="AU137" i="5"/>
  <c r="BN137" i="5" s="1"/>
  <c r="CK178" i="5"/>
  <c r="CI178" i="5"/>
  <c r="CE178" i="5"/>
  <c r="CC178" i="5"/>
  <c r="CA178" i="5"/>
  <c r="CD178" i="5"/>
  <c r="CF178" i="5"/>
  <c r="BV178" i="5"/>
  <c r="BT178" i="5"/>
  <c r="BU178" i="5"/>
  <c r="BR178" i="5"/>
  <c r="BI178" i="5"/>
  <c r="BM178" i="5"/>
  <c r="BS178" i="5"/>
  <c r="BW178" i="5"/>
  <c r="BF178" i="5"/>
  <c r="BQ178" i="5"/>
  <c r="BY178" i="5"/>
  <c r="BE178" i="5"/>
  <c r="AY178" i="5"/>
  <c r="BG178" i="5"/>
  <c r="BJ178" i="5"/>
  <c r="BD178" i="5"/>
  <c r="BK178" i="5"/>
  <c r="BH178" i="5"/>
  <c r="AZ178" i="5"/>
  <c r="BA178" i="5"/>
  <c r="BP178" i="5" s="1"/>
  <c r="AV178" i="5"/>
  <c r="BO178" i="5" s="1"/>
  <c r="AU178" i="5"/>
  <c r="BN178" i="5" s="1"/>
  <c r="CI83" i="5"/>
  <c r="CE83" i="5"/>
  <c r="CK83" i="5"/>
  <c r="CC83" i="5"/>
  <c r="CD83" i="5"/>
  <c r="BY83" i="5"/>
  <c r="CA83" i="5"/>
  <c r="BV83" i="5"/>
  <c r="CF83" i="5"/>
  <c r="BQ83" i="5"/>
  <c r="BR83" i="5"/>
  <c r="BT83" i="5"/>
  <c r="BU83" i="5"/>
  <c r="BS83" i="5"/>
  <c r="BJ83" i="5"/>
  <c r="BG83" i="5"/>
  <c r="BM83" i="5"/>
  <c r="BI83" i="5"/>
  <c r="BH83" i="5"/>
  <c r="AZ83" i="5"/>
  <c r="BW83" i="5"/>
  <c r="BK83" i="5"/>
  <c r="BF83" i="5"/>
  <c r="BE83" i="5"/>
  <c r="BA83" i="5"/>
  <c r="BP83" i="5" s="1"/>
  <c r="BD83" i="5"/>
  <c r="AY83" i="5"/>
  <c r="AU83" i="5"/>
  <c r="BN83" i="5" s="1"/>
  <c r="AV83" i="5"/>
  <c r="BO83" i="5" s="1"/>
  <c r="CI151" i="5"/>
  <c r="CK151" i="5"/>
  <c r="CD151" i="5"/>
  <c r="CE151" i="5"/>
  <c r="CC151" i="5"/>
  <c r="CF151" i="5"/>
  <c r="BY151" i="5"/>
  <c r="BU151" i="5"/>
  <c r="CA151" i="5"/>
  <c r="BQ151" i="5"/>
  <c r="BI151" i="5"/>
  <c r="BW151" i="5"/>
  <c r="BT151" i="5"/>
  <c r="BJ151" i="5"/>
  <c r="BV151" i="5"/>
  <c r="BM151" i="5"/>
  <c r="BS151" i="5"/>
  <c r="BG151" i="5"/>
  <c r="BR151" i="5"/>
  <c r="BK151" i="5"/>
  <c r="BE151" i="5"/>
  <c r="AZ151" i="5"/>
  <c r="BD151" i="5"/>
  <c r="BF151" i="5"/>
  <c r="BH151" i="5"/>
  <c r="BA151" i="5"/>
  <c r="BP151" i="5" s="1"/>
  <c r="AY151" i="5"/>
  <c r="AV151" i="5"/>
  <c r="BC151" i="5" s="1"/>
  <c r="AU151" i="5"/>
  <c r="BN151" i="5" s="1"/>
  <c r="CI75" i="5"/>
  <c r="CE75" i="5"/>
  <c r="CC75" i="5"/>
  <c r="BY75" i="5"/>
  <c r="CK75" i="5"/>
  <c r="BV75" i="5"/>
  <c r="BQ75" i="5"/>
  <c r="CF75" i="5"/>
  <c r="BR75" i="5"/>
  <c r="CA75" i="5"/>
  <c r="BW75" i="5"/>
  <c r="BU75" i="5"/>
  <c r="CD75" i="5"/>
  <c r="BS75" i="5"/>
  <c r="BK75" i="5"/>
  <c r="BG75" i="5"/>
  <c r="BM75" i="5"/>
  <c r="AZ75" i="5"/>
  <c r="BT75" i="5"/>
  <c r="BI75" i="5"/>
  <c r="BH75" i="5"/>
  <c r="BJ75" i="5"/>
  <c r="BA75" i="5"/>
  <c r="BP75" i="5" s="1"/>
  <c r="BE75" i="5"/>
  <c r="BF75" i="5"/>
  <c r="BD75" i="5"/>
  <c r="AY75" i="5"/>
  <c r="AU75" i="5"/>
  <c r="BB75" i="5" s="1"/>
  <c r="AV75" i="5"/>
  <c r="BC75" i="5" s="1"/>
  <c r="CI144" i="5"/>
  <c r="CK144" i="5"/>
  <c r="CE144" i="5"/>
  <c r="CF144" i="5"/>
  <c r="CG144" i="5"/>
  <c r="CD144" i="5"/>
  <c r="CH144" i="5"/>
  <c r="BY144" i="5"/>
  <c r="BZ144" i="5"/>
  <c r="BV144" i="5"/>
  <c r="BW144" i="5"/>
  <c r="BR144" i="5"/>
  <c r="CC144" i="5"/>
  <c r="CJ144" i="5"/>
  <c r="BS144" i="5"/>
  <c r="CA144" i="5"/>
  <c r="BL144" i="5"/>
  <c r="BQ144" i="5"/>
  <c r="BX144" i="5"/>
  <c r="BU144" i="5"/>
  <c r="BK144" i="5"/>
  <c r="BD144" i="5"/>
  <c r="BH144" i="5"/>
  <c r="BA144" i="5"/>
  <c r="BT144" i="5"/>
  <c r="BF144" i="5"/>
  <c r="BM144" i="5"/>
  <c r="BI144" i="5"/>
  <c r="BJ144" i="5"/>
  <c r="BE144" i="5"/>
  <c r="BG144" i="5"/>
  <c r="AZ144" i="5"/>
  <c r="AY144" i="5"/>
  <c r="AV144" i="5"/>
  <c r="AU144" i="5"/>
  <c r="CI3" i="5"/>
  <c r="CK3" i="5"/>
  <c r="CE3" i="5"/>
  <c r="CC3" i="5"/>
  <c r="CD3" i="5"/>
  <c r="BY3" i="5"/>
  <c r="CF3" i="5"/>
  <c r="BV3" i="5"/>
  <c r="BQ3" i="5"/>
  <c r="BW3" i="5"/>
  <c r="BR3" i="5"/>
  <c r="CA3" i="5"/>
  <c r="BM3" i="5"/>
  <c r="BJ3" i="5"/>
  <c r="BG3" i="5"/>
  <c r="BT3" i="5"/>
  <c r="BS3" i="5"/>
  <c r="AZ3" i="5"/>
  <c r="BU3" i="5"/>
  <c r="BK3" i="5"/>
  <c r="BE3" i="5"/>
  <c r="BH3" i="5"/>
  <c r="BI3" i="5"/>
  <c r="BD3" i="5"/>
  <c r="BA3" i="5"/>
  <c r="BP3" i="5" s="1"/>
  <c r="BF3" i="5"/>
  <c r="AY3" i="5"/>
  <c r="AU3" i="5"/>
  <c r="BB3" i="5" s="1"/>
  <c r="AV3" i="5"/>
  <c r="BC3" i="5" s="1"/>
  <c r="CJ76" i="5"/>
  <c r="CI76" i="5"/>
  <c r="CK76" i="5"/>
  <c r="CH76" i="5"/>
  <c r="CG76" i="5"/>
  <c r="CE76" i="5"/>
  <c r="CF76" i="5"/>
  <c r="CD76" i="5"/>
  <c r="BZ76" i="5"/>
  <c r="CC76" i="5"/>
  <c r="CA76" i="5"/>
  <c r="BX76" i="5"/>
  <c r="BV76" i="5"/>
  <c r="BQ76" i="5"/>
  <c r="BJ76" i="5"/>
  <c r="BY76" i="5"/>
  <c r="BT76" i="5"/>
  <c r="BK76" i="5"/>
  <c r="BU76" i="5"/>
  <c r="BM76" i="5"/>
  <c r="BW76" i="5"/>
  <c r="BI76" i="5"/>
  <c r="BH76" i="5"/>
  <c r="BD76" i="5"/>
  <c r="BS76" i="5"/>
  <c r="BR76" i="5"/>
  <c r="BE76" i="5"/>
  <c r="BG76" i="5"/>
  <c r="BA76" i="5"/>
  <c r="BP76" i="5" s="1"/>
  <c r="BF76" i="5"/>
  <c r="BL76" i="5"/>
  <c r="AZ76" i="5"/>
  <c r="AY76" i="5"/>
  <c r="AU76" i="5"/>
  <c r="BB76" i="5" s="1"/>
  <c r="AV76" i="5"/>
  <c r="BC76" i="5" s="1"/>
  <c r="CK145" i="5"/>
  <c r="CF145" i="5"/>
  <c r="CD145" i="5"/>
  <c r="CI145" i="5"/>
  <c r="CE145" i="5"/>
  <c r="CA145" i="5"/>
  <c r="BS145" i="5"/>
  <c r="BK145" i="5"/>
  <c r="CC145" i="5"/>
  <c r="BV145" i="5"/>
  <c r="BM145" i="5"/>
  <c r="BQ145" i="5"/>
  <c r="BY145" i="5"/>
  <c r="BT145" i="5"/>
  <c r="BR145" i="5"/>
  <c r="BI145" i="5"/>
  <c r="BE145" i="5"/>
  <c r="BJ145" i="5"/>
  <c r="BG145" i="5"/>
  <c r="BW145" i="5"/>
  <c r="BU145" i="5"/>
  <c r="BD145" i="5"/>
  <c r="BH145" i="5"/>
  <c r="AZ145" i="5"/>
  <c r="BF145" i="5"/>
  <c r="BA145" i="5"/>
  <c r="BP145" i="5" s="1"/>
  <c r="AY145" i="5"/>
  <c r="AV145" i="5"/>
  <c r="BC145" i="5" s="1"/>
  <c r="AU145" i="5"/>
  <c r="BB145" i="5" s="1"/>
  <c r="CK50" i="5"/>
  <c r="CI50" i="5"/>
  <c r="CF50" i="5"/>
  <c r="CE50" i="5"/>
  <c r="CA50" i="5"/>
  <c r="BW50" i="5"/>
  <c r="CC50" i="5"/>
  <c r="BV50" i="5"/>
  <c r="BT50" i="5"/>
  <c r="BU50" i="5"/>
  <c r="CD50" i="5"/>
  <c r="BY50" i="5"/>
  <c r="BR50" i="5"/>
  <c r="BI50" i="5"/>
  <c r="BM50" i="5"/>
  <c r="BS50" i="5"/>
  <c r="BF50" i="5"/>
  <c r="BQ50" i="5"/>
  <c r="BE50" i="5"/>
  <c r="AY50" i="5"/>
  <c r="BG50" i="5"/>
  <c r="BD50" i="5"/>
  <c r="BJ50" i="5"/>
  <c r="BK50" i="5"/>
  <c r="BH50" i="5"/>
  <c r="AZ50" i="5"/>
  <c r="BA50" i="5"/>
  <c r="BP50" i="5" s="1"/>
  <c r="AV50" i="5"/>
  <c r="BC50" i="5" s="1"/>
  <c r="AU50" i="5"/>
  <c r="BN50" i="5" s="1"/>
  <c r="CH122" i="5"/>
  <c r="CJ122" i="5"/>
  <c r="CI122" i="5"/>
  <c r="CK122" i="5"/>
  <c r="CG122" i="5"/>
  <c r="CC122" i="5"/>
  <c r="CA122" i="5"/>
  <c r="BX122" i="5"/>
  <c r="CE122" i="5"/>
  <c r="BT122" i="5"/>
  <c r="BU122" i="5"/>
  <c r="CD122" i="5"/>
  <c r="BZ122" i="5"/>
  <c r="BQ122" i="5"/>
  <c r="BI122" i="5"/>
  <c r="BR122" i="5"/>
  <c r="BV122" i="5"/>
  <c r="BF122" i="5"/>
  <c r="CF122" i="5"/>
  <c r="BS122" i="5"/>
  <c r="BY122" i="5"/>
  <c r="BW122" i="5"/>
  <c r="BM122" i="5"/>
  <c r="BK122" i="5"/>
  <c r="BD122" i="5"/>
  <c r="AY122" i="5"/>
  <c r="BL122" i="5"/>
  <c r="BE122" i="5"/>
  <c r="BJ122" i="5"/>
  <c r="BH122" i="5"/>
  <c r="BG122" i="5"/>
  <c r="BA122" i="5"/>
  <c r="BP122" i="5" s="1"/>
  <c r="AZ122" i="5"/>
  <c r="AU122" i="5"/>
  <c r="BN122" i="5" s="1"/>
  <c r="AV122" i="5"/>
  <c r="BC122" i="5" s="1"/>
  <c r="CH186" i="5"/>
  <c r="CI186" i="5"/>
  <c r="CK186" i="5"/>
  <c r="CC186" i="5"/>
  <c r="CA186" i="5"/>
  <c r="CJ186" i="5"/>
  <c r="CF186" i="5"/>
  <c r="CG186" i="5"/>
  <c r="BZ186" i="5"/>
  <c r="BX186" i="5"/>
  <c r="BT186" i="5"/>
  <c r="CE186" i="5"/>
  <c r="CD186" i="5"/>
  <c r="BY186" i="5"/>
  <c r="BU186" i="5"/>
  <c r="BQ186" i="5"/>
  <c r="BI186" i="5"/>
  <c r="BW186" i="5"/>
  <c r="BR186" i="5"/>
  <c r="BF186" i="5"/>
  <c r="BV186" i="5"/>
  <c r="BS186" i="5"/>
  <c r="BM186" i="5"/>
  <c r="BK186" i="5"/>
  <c r="BD186" i="5"/>
  <c r="AY186" i="5"/>
  <c r="BL186" i="5"/>
  <c r="BH186" i="5"/>
  <c r="BE186" i="5"/>
  <c r="BJ186" i="5"/>
  <c r="BG186" i="5"/>
  <c r="BA186" i="5"/>
  <c r="BP186" i="5" s="1"/>
  <c r="AZ186" i="5"/>
  <c r="AU186" i="5"/>
  <c r="BB186" i="5" s="1"/>
  <c r="AV186" i="5"/>
  <c r="BC186" i="5" s="1"/>
  <c r="CF42" i="5"/>
  <c r="CI42" i="5"/>
  <c r="CG42" i="5"/>
  <c r="CK42" i="5"/>
  <c r="CC42" i="5"/>
  <c r="CA42" i="5"/>
  <c r="BW42" i="5"/>
  <c r="BY42" i="5"/>
  <c r="CD42" i="5"/>
  <c r="CE42" i="5"/>
  <c r="BT42" i="5"/>
  <c r="BU42" i="5"/>
  <c r="BM42" i="5"/>
  <c r="BS42" i="5"/>
  <c r="BI42" i="5"/>
  <c r="BQ42" i="5"/>
  <c r="BF42" i="5"/>
  <c r="BD42" i="5"/>
  <c r="BV42" i="5"/>
  <c r="BR42" i="5"/>
  <c r="AY42" i="5"/>
  <c r="BJ42" i="5"/>
  <c r="BH42" i="5"/>
  <c r="BK42" i="5"/>
  <c r="BE42" i="5"/>
  <c r="BG42" i="5"/>
  <c r="BA42" i="5"/>
  <c r="BP42" i="5" s="1"/>
  <c r="AZ42" i="5"/>
  <c r="AV42" i="5"/>
  <c r="BO42" i="5" s="1"/>
  <c r="AU42" i="5"/>
  <c r="BN42" i="5" s="1"/>
  <c r="CI115" i="5"/>
  <c r="CE115" i="5"/>
  <c r="CK115" i="5"/>
  <c r="CF115" i="5"/>
  <c r="BY115" i="5"/>
  <c r="CA115" i="5"/>
  <c r="BV115" i="5"/>
  <c r="BQ115" i="5"/>
  <c r="CD115" i="5"/>
  <c r="BR115" i="5"/>
  <c r="CC115" i="5"/>
  <c r="BT115" i="5"/>
  <c r="BW115" i="5"/>
  <c r="BU115" i="5"/>
  <c r="BJ115" i="5"/>
  <c r="BG115" i="5"/>
  <c r="BM115" i="5"/>
  <c r="BH115" i="5"/>
  <c r="AZ115" i="5"/>
  <c r="BS115" i="5"/>
  <c r="BK115" i="5"/>
  <c r="BD115" i="5"/>
  <c r="BF115" i="5"/>
  <c r="BE115" i="5"/>
  <c r="BI115" i="5"/>
  <c r="BA115" i="5"/>
  <c r="BP115" i="5" s="1"/>
  <c r="AY115" i="5"/>
  <c r="AU115" i="5"/>
  <c r="BB115" i="5" s="1"/>
  <c r="AV115" i="5"/>
  <c r="BC115" i="5" s="1"/>
  <c r="CH179" i="5"/>
  <c r="CJ179" i="5"/>
  <c r="CI179" i="5"/>
  <c r="CG179" i="5"/>
  <c r="CK179" i="5"/>
  <c r="CF179" i="5"/>
  <c r="BY179" i="5"/>
  <c r="CE179" i="5"/>
  <c r="CA179" i="5"/>
  <c r="BX179" i="5"/>
  <c r="BV179" i="5"/>
  <c r="CD179" i="5"/>
  <c r="CC179" i="5"/>
  <c r="BQ179" i="5"/>
  <c r="BR179" i="5"/>
  <c r="BZ179" i="5"/>
  <c r="BT179" i="5"/>
  <c r="BW179" i="5"/>
  <c r="BL179" i="5"/>
  <c r="BS179" i="5"/>
  <c r="BJ179" i="5"/>
  <c r="BG179" i="5"/>
  <c r="BM179" i="5"/>
  <c r="BK179" i="5"/>
  <c r="BH179" i="5"/>
  <c r="AZ179" i="5"/>
  <c r="BU179" i="5"/>
  <c r="BE179" i="5"/>
  <c r="BI179" i="5"/>
  <c r="BD179" i="5"/>
  <c r="BF179" i="5"/>
  <c r="BA179" i="5"/>
  <c r="BP179" i="5" s="1"/>
  <c r="AY179" i="5"/>
  <c r="AU179" i="5"/>
  <c r="BB179" i="5" s="1"/>
  <c r="AV179" i="5"/>
  <c r="BC179" i="5" s="1"/>
  <c r="CJ24" i="5"/>
  <c r="CI24" i="5"/>
  <c r="CK24" i="5"/>
  <c r="CH24" i="5"/>
  <c r="CF24" i="5"/>
  <c r="CE24" i="5"/>
  <c r="CC24" i="5"/>
  <c r="CD24" i="5"/>
  <c r="BY24" i="5"/>
  <c r="BZ24" i="5"/>
  <c r="CG24" i="5"/>
  <c r="BX24" i="5"/>
  <c r="BV24" i="5"/>
  <c r="BR24" i="5"/>
  <c r="BS24" i="5"/>
  <c r="CA24" i="5"/>
  <c r="BM24" i="5"/>
  <c r="BQ24" i="5"/>
  <c r="BD24" i="5"/>
  <c r="BT24" i="5"/>
  <c r="BH24" i="5"/>
  <c r="BW24" i="5"/>
  <c r="BA24" i="5"/>
  <c r="BP24" i="5" s="1"/>
  <c r="BU24" i="5"/>
  <c r="BJ24" i="5"/>
  <c r="BI24" i="5"/>
  <c r="BE24" i="5"/>
  <c r="BL24" i="5"/>
  <c r="BK24" i="5"/>
  <c r="BF24" i="5"/>
  <c r="BG24" i="5"/>
  <c r="AZ24" i="5"/>
  <c r="AY24" i="5"/>
  <c r="AV24" i="5"/>
  <c r="BC24" i="5" s="1"/>
  <c r="AU24" i="5"/>
  <c r="BB24" i="5" s="1"/>
  <c r="CK98" i="5"/>
  <c r="CI98" i="5"/>
  <c r="CE98" i="5"/>
  <c r="CD98" i="5"/>
  <c r="CA98" i="5"/>
  <c r="CF98" i="5"/>
  <c r="BT98" i="5"/>
  <c r="BU98" i="5"/>
  <c r="CC98" i="5"/>
  <c r="BV98" i="5"/>
  <c r="BY98" i="5"/>
  <c r="BI98" i="5"/>
  <c r="BM98" i="5"/>
  <c r="BW98" i="5"/>
  <c r="BF98" i="5"/>
  <c r="BR98" i="5"/>
  <c r="BQ98" i="5"/>
  <c r="BE98" i="5"/>
  <c r="BS98" i="5"/>
  <c r="AY98" i="5"/>
  <c r="BJ98" i="5"/>
  <c r="BH98" i="5"/>
  <c r="BK98" i="5"/>
  <c r="BG98" i="5"/>
  <c r="BA98" i="5"/>
  <c r="BP98" i="5" s="1"/>
  <c r="AZ98" i="5"/>
  <c r="BD98" i="5"/>
  <c r="AV98" i="5"/>
  <c r="BO98" i="5" s="1"/>
  <c r="AU98" i="5"/>
  <c r="BN98" i="5" s="1"/>
  <c r="CI164" i="5"/>
  <c r="CK164" i="5"/>
  <c r="CE164" i="5"/>
  <c r="CF164" i="5"/>
  <c r="CA164" i="5"/>
  <c r="CD164" i="5"/>
  <c r="BY164" i="5"/>
  <c r="CC164" i="5"/>
  <c r="BR164" i="5"/>
  <c r="BJ164" i="5"/>
  <c r="BU164" i="5"/>
  <c r="BK164" i="5"/>
  <c r="BH164" i="5"/>
  <c r="BW164" i="5"/>
  <c r="BV164" i="5"/>
  <c r="BD164" i="5"/>
  <c r="BT164" i="5"/>
  <c r="BF164" i="5"/>
  <c r="BS164" i="5"/>
  <c r="BQ164" i="5"/>
  <c r="BA164" i="5"/>
  <c r="BE164" i="5"/>
  <c r="BG164" i="5"/>
  <c r="BI164" i="5"/>
  <c r="BM164" i="5"/>
  <c r="AY164" i="5"/>
  <c r="AZ164" i="5"/>
  <c r="AV164" i="5"/>
  <c r="AU164" i="5"/>
  <c r="CI26" i="5"/>
  <c r="CF26" i="5"/>
  <c r="CE26" i="5"/>
  <c r="CD26" i="5"/>
  <c r="CA26" i="5"/>
  <c r="BW26" i="5"/>
  <c r="CK26" i="5"/>
  <c r="CC26" i="5"/>
  <c r="BT26" i="5"/>
  <c r="BU26" i="5"/>
  <c r="BM26" i="5"/>
  <c r="BY26" i="5"/>
  <c r="BV26" i="5"/>
  <c r="BQ26" i="5"/>
  <c r="BI26" i="5"/>
  <c r="BF26" i="5"/>
  <c r="BS26" i="5"/>
  <c r="BR26" i="5"/>
  <c r="BD26" i="5"/>
  <c r="AY26" i="5"/>
  <c r="BH26" i="5"/>
  <c r="BJ26" i="5"/>
  <c r="BK26" i="5"/>
  <c r="BG26" i="5"/>
  <c r="BE26" i="5"/>
  <c r="BA26" i="5"/>
  <c r="BP26" i="5" s="1"/>
  <c r="AZ26" i="5"/>
  <c r="AV26" i="5"/>
  <c r="BC26" i="5" s="1"/>
  <c r="AU26" i="5"/>
  <c r="BN26" i="5" s="1"/>
  <c r="CI99" i="5"/>
  <c r="CH99" i="5"/>
  <c r="CJ99" i="5"/>
  <c r="CE99" i="5"/>
  <c r="CG99" i="5"/>
  <c r="CC99" i="5"/>
  <c r="BY99" i="5"/>
  <c r="CK99" i="5"/>
  <c r="CF99" i="5"/>
  <c r="BV99" i="5"/>
  <c r="BQ99" i="5"/>
  <c r="BX99" i="5"/>
  <c r="BW99" i="5"/>
  <c r="BR99" i="5"/>
  <c r="CD99" i="5"/>
  <c r="CA99" i="5"/>
  <c r="BS99" i="5"/>
  <c r="BT99" i="5"/>
  <c r="BM99" i="5"/>
  <c r="BJ99" i="5"/>
  <c r="BZ99" i="5"/>
  <c r="BG99" i="5"/>
  <c r="AZ99" i="5"/>
  <c r="BU99" i="5"/>
  <c r="BH99" i="5"/>
  <c r="BF99" i="5"/>
  <c r="BK99" i="5"/>
  <c r="BE99" i="5"/>
  <c r="BL99" i="5"/>
  <c r="BI99" i="5"/>
  <c r="BD99" i="5"/>
  <c r="BA99" i="5"/>
  <c r="BP99" i="5" s="1"/>
  <c r="AY99" i="5"/>
  <c r="AU99" i="5"/>
  <c r="BN99" i="5" s="1"/>
  <c r="AV99" i="5"/>
  <c r="BO99" i="5" s="1"/>
  <c r="CK165" i="5"/>
  <c r="CJ165" i="5"/>
  <c r="CI165" i="5"/>
  <c r="CF165" i="5"/>
  <c r="CG165" i="5"/>
  <c r="CH165" i="5"/>
  <c r="CD165" i="5"/>
  <c r="CC165" i="5"/>
  <c r="BZ165" i="5"/>
  <c r="CA165" i="5"/>
  <c r="BX165" i="5"/>
  <c r="BW165" i="5"/>
  <c r="CE165" i="5"/>
  <c r="BS165" i="5"/>
  <c r="BT165" i="5"/>
  <c r="BQ165" i="5"/>
  <c r="BR165" i="5"/>
  <c r="BY165" i="5"/>
  <c r="BE165" i="5"/>
  <c r="BU165" i="5"/>
  <c r="BV165" i="5"/>
  <c r="BK165" i="5"/>
  <c r="BM165" i="5"/>
  <c r="BD165" i="5"/>
  <c r="BL165" i="5"/>
  <c r="BI165" i="5"/>
  <c r="BJ165" i="5"/>
  <c r="BF165" i="5"/>
  <c r="BH165" i="5"/>
  <c r="BA165" i="5"/>
  <c r="BP165" i="5" s="1"/>
  <c r="BG165" i="5"/>
  <c r="AZ165" i="5"/>
  <c r="AY165" i="5"/>
  <c r="AU165" i="5"/>
  <c r="BN165" i="5" s="1"/>
  <c r="AV165" i="5"/>
  <c r="BO165" i="5" s="1"/>
  <c r="CK82" i="5"/>
  <c r="CI82" i="5"/>
  <c r="CE82" i="5"/>
  <c r="CF82" i="5"/>
  <c r="CA82" i="5"/>
  <c r="CC82" i="5"/>
  <c r="CD82" i="5"/>
  <c r="BV82" i="5"/>
  <c r="BT82" i="5"/>
  <c r="BU82" i="5"/>
  <c r="BY82" i="5"/>
  <c r="BR82" i="5"/>
  <c r="BI82" i="5"/>
  <c r="BM82" i="5"/>
  <c r="BW82" i="5"/>
  <c r="BQ82" i="5"/>
  <c r="BF82" i="5"/>
  <c r="BS82" i="5"/>
  <c r="BE82" i="5"/>
  <c r="AY82" i="5"/>
  <c r="BH82" i="5"/>
  <c r="BJ82" i="5"/>
  <c r="BK82" i="5"/>
  <c r="BG82" i="5"/>
  <c r="BD82" i="5"/>
  <c r="AZ82" i="5"/>
  <c r="BA82" i="5"/>
  <c r="BP82" i="5" s="1"/>
  <c r="AV82" i="5"/>
  <c r="BO82" i="5" s="1"/>
  <c r="AU82" i="5"/>
  <c r="BN82" i="5" s="1"/>
  <c r="CI150" i="5"/>
  <c r="CF150" i="5"/>
  <c r="CK150" i="5"/>
  <c r="CE150" i="5"/>
  <c r="CA150" i="5"/>
  <c r="CC150" i="5"/>
  <c r="BV150" i="5"/>
  <c r="BQ150" i="5"/>
  <c r="BM150" i="5"/>
  <c r="BR150" i="5"/>
  <c r="BS150" i="5"/>
  <c r="CD150" i="5"/>
  <c r="BW150" i="5"/>
  <c r="BI150" i="5"/>
  <c r="BY150" i="5"/>
  <c r="BK150" i="5"/>
  <c r="BF150" i="5"/>
  <c r="AY150" i="5"/>
  <c r="BU150" i="5"/>
  <c r="BT150" i="5"/>
  <c r="BG150" i="5"/>
  <c r="BE150" i="5"/>
  <c r="BD150" i="5"/>
  <c r="BH150" i="5"/>
  <c r="BJ150" i="5"/>
  <c r="BA150" i="5"/>
  <c r="BP150" i="5" s="1"/>
  <c r="AZ150" i="5"/>
  <c r="AV150" i="5"/>
  <c r="BO150" i="5" s="1"/>
  <c r="AU150" i="5"/>
  <c r="BN150" i="5" s="1"/>
  <c r="CK9" i="5"/>
  <c r="CF9" i="5"/>
  <c r="CI9" i="5"/>
  <c r="CE9" i="5"/>
  <c r="CC9" i="5"/>
  <c r="BY9" i="5"/>
  <c r="CD9" i="5"/>
  <c r="CA9" i="5"/>
  <c r="BK9" i="5"/>
  <c r="BR9" i="5"/>
  <c r="BV9" i="5"/>
  <c r="BQ9" i="5"/>
  <c r="BU9" i="5"/>
  <c r="BH9" i="5"/>
  <c r="BS9" i="5"/>
  <c r="BJ9" i="5"/>
  <c r="BE9" i="5"/>
  <c r="BM9" i="5"/>
  <c r="BW9" i="5"/>
  <c r="BT9" i="5"/>
  <c r="BF9" i="5"/>
  <c r="BI9" i="5"/>
  <c r="BD9" i="5"/>
  <c r="BA9" i="5"/>
  <c r="BP9" i="5" s="1"/>
  <c r="BG9" i="5"/>
  <c r="AZ9" i="5"/>
  <c r="AY9" i="5"/>
  <c r="AV9" i="5"/>
  <c r="BO9" i="5" s="1"/>
  <c r="AU9" i="5"/>
  <c r="BB9" i="5" s="1"/>
  <c r="CK41" i="5"/>
  <c r="CF41" i="5"/>
  <c r="CI41" i="5"/>
  <c r="CE41" i="5"/>
  <c r="CD41" i="5"/>
  <c r="CC41" i="5"/>
  <c r="CA41" i="5"/>
  <c r="BV41" i="5"/>
  <c r="BK41" i="5"/>
  <c r="BY41" i="5"/>
  <c r="BW41" i="5"/>
  <c r="BT41" i="5"/>
  <c r="BR41" i="5"/>
  <c r="BJ41" i="5"/>
  <c r="BE41" i="5"/>
  <c r="BM41" i="5"/>
  <c r="BU41" i="5"/>
  <c r="BH41" i="5"/>
  <c r="BS41" i="5"/>
  <c r="BQ41" i="5"/>
  <c r="BF41" i="5"/>
  <c r="BG41" i="5"/>
  <c r="BI41" i="5"/>
  <c r="BA41" i="5"/>
  <c r="BP41" i="5" s="1"/>
  <c r="AZ41" i="5"/>
  <c r="AY41" i="5"/>
  <c r="BD41" i="5"/>
  <c r="AV41" i="5"/>
  <c r="BO41" i="5" s="1"/>
  <c r="AU41" i="5"/>
  <c r="BB41" i="5" s="1"/>
  <c r="CK73" i="5"/>
  <c r="CF73" i="5"/>
  <c r="CI73" i="5"/>
  <c r="CE73" i="5"/>
  <c r="CC73" i="5"/>
  <c r="CD73" i="5"/>
  <c r="BY73" i="5"/>
  <c r="BK73" i="5"/>
  <c r="BM73" i="5"/>
  <c r="BQ73" i="5"/>
  <c r="BR73" i="5"/>
  <c r="BW73" i="5"/>
  <c r="BV73" i="5"/>
  <c r="CA73" i="5"/>
  <c r="BJ73" i="5"/>
  <c r="BE73" i="5"/>
  <c r="BH73" i="5"/>
  <c r="BU73" i="5"/>
  <c r="BT73" i="5"/>
  <c r="BS73" i="5"/>
  <c r="BF73" i="5"/>
  <c r="BD73" i="5"/>
  <c r="BI73" i="5"/>
  <c r="BA73" i="5"/>
  <c r="BP73" i="5" s="1"/>
  <c r="BG73" i="5"/>
  <c r="AZ73" i="5"/>
  <c r="AY73" i="5"/>
  <c r="AV73" i="5"/>
  <c r="BC73" i="5" s="1"/>
  <c r="AU73" i="5"/>
  <c r="BB73" i="5" s="1"/>
  <c r="CK105" i="5"/>
  <c r="CF105" i="5"/>
  <c r="CI105" i="5"/>
  <c r="CE105" i="5"/>
  <c r="CC105" i="5"/>
  <c r="CD105" i="5"/>
  <c r="CA105" i="5"/>
  <c r="BY105" i="5"/>
  <c r="BK105" i="5"/>
  <c r="BM105" i="5"/>
  <c r="BT105" i="5"/>
  <c r="BV105" i="5"/>
  <c r="BU105" i="5"/>
  <c r="BW105" i="5"/>
  <c r="BJ105" i="5"/>
  <c r="BE105" i="5"/>
  <c r="BS105" i="5"/>
  <c r="BR105" i="5"/>
  <c r="BQ105" i="5"/>
  <c r="BH105" i="5"/>
  <c r="BF105" i="5"/>
  <c r="BG105" i="5"/>
  <c r="BI105" i="5"/>
  <c r="BD105" i="5"/>
  <c r="BA105" i="5"/>
  <c r="BP105" i="5" s="1"/>
  <c r="AZ105" i="5"/>
  <c r="AY105" i="5"/>
  <c r="AV105" i="5"/>
  <c r="BC105" i="5" s="1"/>
  <c r="AU105" i="5"/>
  <c r="BB105" i="5" s="1"/>
  <c r="CI59" i="5"/>
  <c r="CE59" i="5"/>
  <c r="CF59" i="5"/>
  <c r="CC59" i="5"/>
  <c r="CD59" i="5"/>
  <c r="CK59" i="5"/>
  <c r="BY59" i="5"/>
  <c r="BV59" i="5"/>
  <c r="BQ59" i="5"/>
  <c r="BR59" i="5"/>
  <c r="CA59" i="5"/>
  <c r="BS59" i="5"/>
  <c r="BK59" i="5"/>
  <c r="BW59" i="5"/>
  <c r="BU59" i="5"/>
  <c r="BG59" i="5"/>
  <c r="BT59" i="5"/>
  <c r="BJ59" i="5"/>
  <c r="AZ59" i="5"/>
  <c r="BD59" i="5"/>
  <c r="BM59" i="5"/>
  <c r="BF59" i="5"/>
  <c r="BH59" i="5"/>
  <c r="BE59" i="5"/>
  <c r="BI59" i="5"/>
  <c r="BA59" i="5"/>
  <c r="BP59" i="5" s="1"/>
  <c r="AY59" i="5"/>
  <c r="AU59" i="5"/>
  <c r="BB59" i="5" s="1"/>
  <c r="AV59" i="5"/>
  <c r="BO59" i="5" s="1"/>
  <c r="CK130" i="5"/>
  <c r="CI130" i="5"/>
  <c r="CE130" i="5"/>
  <c r="CD130" i="5"/>
  <c r="CC130" i="5"/>
  <c r="CA130" i="5"/>
  <c r="BT130" i="5"/>
  <c r="CF130" i="5"/>
  <c r="BU130" i="5"/>
  <c r="BY130" i="5"/>
  <c r="BI130" i="5"/>
  <c r="BQ130" i="5"/>
  <c r="BM130" i="5"/>
  <c r="BF130" i="5"/>
  <c r="BW130" i="5"/>
  <c r="BS130" i="5"/>
  <c r="BR130" i="5"/>
  <c r="BV130" i="5"/>
  <c r="BJ130" i="5"/>
  <c r="BE130" i="5"/>
  <c r="BK130" i="5"/>
  <c r="AY130" i="5"/>
  <c r="BD130" i="5"/>
  <c r="BH130" i="5"/>
  <c r="BG130" i="5"/>
  <c r="BA130" i="5"/>
  <c r="BP130" i="5" s="1"/>
  <c r="AZ130" i="5"/>
  <c r="AU130" i="5"/>
  <c r="BB130" i="5" s="1"/>
  <c r="AV130" i="5"/>
  <c r="BO130" i="5" s="1"/>
  <c r="CJ194" i="5"/>
  <c r="CK194" i="5"/>
  <c r="CI194" i="5"/>
  <c r="CE194" i="5"/>
  <c r="CG194" i="5"/>
  <c r="CD194" i="5"/>
  <c r="CC194" i="5"/>
  <c r="CF194" i="5"/>
  <c r="CA194" i="5"/>
  <c r="BZ194" i="5"/>
  <c r="BY194" i="5"/>
  <c r="BT194" i="5"/>
  <c r="CH194" i="5"/>
  <c r="BU194" i="5"/>
  <c r="BV194" i="5"/>
  <c r="BW194" i="5"/>
  <c r="BI194" i="5"/>
  <c r="BQ194" i="5"/>
  <c r="BM194" i="5"/>
  <c r="BF194" i="5"/>
  <c r="BX194" i="5"/>
  <c r="BL194" i="5"/>
  <c r="BK194" i="5"/>
  <c r="BE194" i="5"/>
  <c r="BS194" i="5"/>
  <c r="BR194" i="5"/>
  <c r="BJ194" i="5"/>
  <c r="AY194" i="5"/>
  <c r="BD194" i="5"/>
  <c r="BH194" i="5"/>
  <c r="BG194" i="5"/>
  <c r="BA194" i="5"/>
  <c r="AZ194" i="5"/>
  <c r="AU194" i="5"/>
  <c r="AV194" i="5"/>
  <c r="CI51" i="5"/>
  <c r="CF51" i="5"/>
  <c r="CE51" i="5"/>
  <c r="CK51" i="5"/>
  <c r="CC51" i="5"/>
  <c r="BY51" i="5"/>
  <c r="CD51" i="5"/>
  <c r="CA51" i="5"/>
  <c r="BV51" i="5"/>
  <c r="BQ51" i="5"/>
  <c r="BR51" i="5"/>
  <c r="BT51" i="5"/>
  <c r="BW51" i="5"/>
  <c r="BJ51" i="5"/>
  <c r="BG51" i="5"/>
  <c r="BS51" i="5"/>
  <c r="BK51" i="5"/>
  <c r="BH51" i="5"/>
  <c r="AZ51" i="5"/>
  <c r="BU51" i="5"/>
  <c r="BM51" i="5"/>
  <c r="BE51" i="5"/>
  <c r="BI51" i="5"/>
  <c r="BD51" i="5"/>
  <c r="BF51" i="5"/>
  <c r="BA51" i="5"/>
  <c r="BP51" i="5" s="1"/>
  <c r="AY51" i="5"/>
  <c r="AU51" i="5"/>
  <c r="BN51" i="5" s="1"/>
  <c r="AV51" i="5"/>
  <c r="BC51" i="5" s="1"/>
  <c r="CH123" i="5"/>
  <c r="CJ123" i="5"/>
  <c r="CI123" i="5"/>
  <c r="CE123" i="5"/>
  <c r="CF123" i="5"/>
  <c r="CD123" i="5"/>
  <c r="BY123" i="5"/>
  <c r="CG123" i="5"/>
  <c r="BZ123" i="5"/>
  <c r="BV123" i="5"/>
  <c r="CC123" i="5"/>
  <c r="BQ123" i="5"/>
  <c r="BR123" i="5"/>
  <c r="CK123" i="5"/>
  <c r="CA123" i="5"/>
  <c r="BS123" i="5"/>
  <c r="BW123" i="5"/>
  <c r="BX123" i="5"/>
  <c r="BK123" i="5"/>
  <c r="BL123" i="5"/>
  <c r="BG123" i="5"/>
  <c r="AZ123" i="5"/>
  <c r="BM123" i="5"/>
  <c r="BU123" i="5"/>
  <c r="BT123" i="5"/>
  <c r="BJ123" i="5"/>
  <c r="BI123" i="5"/>
  <c r="BD123" i="5"/>
  <c r="BF123" i="5"/>
  <c r="BH123" i="5"/>
  <c r="BE123" i="5"/>
  <c r="BA123" i="5"/>
  <c r="BP123" i="5" s="1"/>
  <c r="AY123" i="5"/>
  <c r="AU123" i="5"/>
  <c r="BN123" i="5" s="1"/>
  <c r="AV123" i="5"/>
  <c r="BO123" i="5" s="1"/>
  <c r="CI187" i="5"/>
  <c r="CF187" i="5"/>
  <c r="CD187" i="5"/>
  <c r="CE187" i="5"/>
  <c r="CG187" i="5"/>
  <c r="BY187" i="5"/>
  <c r="CK187" i="5"/>
  <c r="BQ187" i="5"/>
  <c r="CC187" i="5"/>
  <c r="BR187" i="5"/>
  <c r="BS187" i="5"/>
  <c r="BV187" i="5"/>
  <c r="BK187" i="5"/>
  <c r="CA187" i="5"/>
  <c r="BW187" i="5"/>
  <c r="BG187" i="5"/>
  <c r="BU187" i="5"/>
  <c r="BT187" i="5"/>
  <c r="BJ187" i="5"/>
  <c r="AZ187" i="5"/>
  <c r="BM187" i="5"/>
  <c r="BD187" i="5"/>
  <c r="BF187" i="5"/>
  <c r="BH187" i="5"/>
  <c r="BI187" i="5"/>
  <c r="BE187" i="5"/>
  <c r="BA187" i="5"/>
  <c r="BP187" i="5" s="1"/>
  <c r="AY187" i="5"/>
  <c r="AU187" i="5"/>
  <c r="BN187" i="5" s="1"/>
  <c r="AV187" i="5"/>
  <c r="BC187" i="5" s="1"/>
  <c r="CK34" i="5"/>
  <c r="CI34" i="5"/>
  <c r="CE34" i="5"/>
  <c r="CF34" i="5"/>
  <c r="CD34" i="5"/>
  <c r="CC34" i="5"/>
  <c r="CA34" i="5"/>
  <c r="BW34" i="5"/>
  <c r="BT34" i="5"/>
  <c r="BU34" i="5"/>
  <c r="BM34" i="5"/>
  <c r="BY34" i="5"/>
  <c r="BI34" i="5"/>
  <c r="BF34" i="5"/>
  <c r="BV34" i="5"/>
  <c r="BQ34" i="5"/>
  <c r="BS34" i="5"/>
  <c r="BE34" i="5"/>
  <c r="BR34" i="5"/>
  <c r="AY34" i="5"/>
  <c r="BG34" i="5"/>
  <c r="BH34" i="5"/>
  <c r="BJ34" i="5"/>
  <c r="BK34" i="5"/>
  <c r="BA34" i="5"/>
  <c r="BP34" i="5" s="1"/>
  <c r="BD34" i="5"/>
  <c r="AZ34" i="5"/>
  <c r="AV34" i="5"/>
  <c r="BO34" i="5" s="1"/>
  <c r="AU34" i="5"/>
  <c r="BB34" i="5" s="1"/>
  <c r="CI107" i="5"/>
  <c r="CE107" i="5"/>
  <c r="CK107" i="5"/>
  <c r="CF107" i="5"/>
  <c r="BY107" i="5"/>
  <c r="CD107" i="5"/>
  <c r="BV107" i="5"/>
  <c r="CA107" i="5"/>
  <c r="BQ107" i="5"/>
  <c r="CC107" i="5"/>
  <c r="BR107" i="5"/>
  <c r="BU107" i="5"/>
  <c r="BS107" i="5"/>
  <c r="BK107" i="5"/>
  <c r="BG107" i="5"/>
  <c r="BW107" i="5"/>
  <c r="BT107" i="5"/>
  <c r="AZ107" i="5"/>
  <c r="BE107" i="5"/>
  <c r="BI107" i="5"/>
  <c r="BD107" i="5"/>
  <c r="BF107" i="5"/>
  <c r="BJ107" i="5"/>
  <c r="BM107" i="5"/>
  <c r="BH107" i="5"/>
  <c r="BA107" i="5"/>
  <c r="BP107" i="5" s="1"/>
  <c r="AY107" i="5"/>
  <c r="AU107" i="5"/>
  <c r="BN107" i="5" s="1"/>
  <c r="AV107" i="5"/>
  <c r="BO107" i="5" s="1"/>
  <c r="CI172" i="5"/>
  <c r="CK172" i="5"/>
  <c r="CE172" i="5"/>
  <c r="CF172" i="5"/>
  <c r="CD172" i="5"/>
  <c r="BY172" i="5"/>
  <c r="BV172" i="5"/>
  <c r="CC172" i="5"/>
  <c r="CA172" i="5"/>
  <c r="BQ172" i="5"/>
  <c r="BJ172" i="5"/>
  <c r="BT172" i="5"/>
  <c r="BK172" i="5"/>
  <c r="BR172" i="5"/>
  <c r="BM172" i="5"/>
  <c r="BW172" i="5"/>
  <c r="BI172" i="5"/>
  <c r="BH172" i="5"/>
  <c r="BU172" i="5"/>
  <c r="BD172" i="5"/>
  <c r="BE172" i="5"/>
  <c r="BS172" i="5"/>
  <c r="BG172" i="5"/>
  <c r="BA172" i="5"/>
  <c r="BP172" i="5" s="1"/>
  <c r="BF172" i="5"/>
  <c r="AZ172" i="5"/>
  <c r="AY172" i="5"/>
  <c r="AV172" i="5"/>
  <c r="BC172" i="5" s="1"/>
  <c r="AU172" i="5"/>
  <c r="BB172" i="5" s="1"/>
  <c r="CI35" i="5"/>
  <c r="CH35" i="5"/>
  <c r="CE35" i="5"/>
  <c r="CJ35" i="5"/>
  <c r="CC35" i="5"/>
  <c r="CG35" i="5"/>
  <c r="CF35" i="5"/>
  <c r="BY35" i="5"/>
  <c r="BV35" i="5"/>
  <c r="CA35" i="5"/>
  <c r="BQ35" i="5"/>
  <c r="CD35" i="5"/>
  <c r="CK35" i="5"/>
  <c r="BZ35" i="5"/>
  <c r="BR35" i="5"/>
  <c r="BM35" i="5"/>
  <c r="BW35" i="5"/>
  <c r="BT35" i="5"/>
  <c r="BS35" i="5"/>
  <c r="BJ35" i="5"/>
  <c r="BX35" i="5"/>
  <c r="BG35" i="5"/>
  <c r="BU35" i="5"/>
  <c r="AZ35" i="5"/>
  <c r="BH35" i="5"/>
  <c r="BK35" i="5"/>
  <c r="BL35" i="5"/>
  <c r="BD35" i="5"/>
  <c r="BI35" i="5"/>
  <c r="BF35" i="5"/>
  <c r="BE35" i="5"/>
  <c r="BA35" i="5"/>
  <c r="BP35" i="5" s="1"/>
  <c r="AY35" i="5"/>
  <c r="AU35" i="5"/>
  <c r="BB35" i="5" s="1"/>
  <c r="AV35" i="5"/>
  <c r="BO35" i="5" s="1"/>
  <c r="CI108" i="5"/>
  <c r="CK108" i="5"/>
  <c r="CE108" i="5"/>
  <c r="CF108" i="5"/>
  <c r="CD108" i="5"/>
  <c r="BV108" i="5"/>
  <c r="CC108" i="5"/>
  <c r="BY108" i="5"/>
  <c r="BQ108" i="5"/>
  <c r="BJ108" i="5"/>
  <c r="CA108" i="5"/>
  <c r="BW108" i="5"/>
  <c r="BT108" i="5"/>
  <c r="BK108" i="5"/>
  <c r="BR108" i="5"/>
  <c r="BM108" i="5"/>
  <c r="BI108" i="5"/>
  <c r="BH108" i="5"/>
  <c r="BD108" i="5"/>
  <c r="BU108" i="5"/>
  <c r="BS108" i="5"/>
  <c r="BE108" i="5"/>
  <c r="BG108" i="5"/>
  <c r="BA108" i="5"/>
  <c r="BP108" i="5" s="1"/>
  <c r="BF108" i="5"/>
  <c r="AZ108" i="5"/>
  <c r="AY108" i="5"/>
  <c r="AV108" i="5"/>
  <c r="BC108" i="5" s="1"/>
  <c r="AU108" i="5"/>
  <c r="BB108" i="5" s="1"/>
  <c r="CK173" i="5"/>
  <c r="CG173" i="5"/>
  <c r="CF173" i="5"/>
  <c r="CI173" i="5"/>
  <c r="CD173" i="5"/>
  <c r="CC173" i="5"/>
  <c r="CA173" i="5"/>
  <c r="BW173" i="5"/>
  <c r="CE173" i="5"/>
  <c r="BS173" i="5"/>
  <c r="BT173" i="5"/>
  <c r="BQ173" i="5"/>
  <c r="BY173" i="5"/>
  <c r="BR173" i="5"/>
  <c r="BE173" i="5"/>
  <c r="BJ173" i="5"/>
  <c r="BV173" i="5"/>
  <c r="BU173" i="5"/>
  <c r="BK173" i="5"/>
  <c r="BD173" i="5"/>
  <c r="BH173" i="5"/>
  <c r="BM173" i="5"/>
  <c r="BI173" i="5"/>
  <c r="BG173" i="5"/>
  <c r="BA173" i="5"/>
  <c r="BP173" i="5" s="1"/>
  <c r="BF173" i="5"/>
  <c r="AZ173" i="5"/>
  <c r="AY173" i="5"/>
  <c r="AV173" i="5"/>
  <c r="BC173" i="5" s="1"/>
  <c r="AU173" i="5"/>
  <c r="BN173" i="5" s="1"/>
  <c r="CI91" i="5"/>
  <c r="CE91" i="5"/>
  <c r="CC91" i="5"/>
  <c r="CK91" i="5"/>
  <c r="CD91" i="5"/>
  <c r="BY91" i="5"/>
  <c r="BV91" i="5"/>
  <c r="CA91" i="5"/>
  <c r="BQ91" i="5"/>
  <c r="BR91" i="5"/>
  <c r="BS91" i="5"/>
  <c r="CF91" i="5"/>
  <c r="BW91" i="5"/>
  <c r="BT91" i="5"/>
  <c r="BU91" i="5"/>
  <c r="BK91" i="5"/>
  <c r="BM91" i="5"/>
  <c r="BG91" i="5"/>
  <c r="AZ91" i="5"/>
  <c r="BF91" i="5"/>
  <c r="BI91" i="5"/>
  <c r="BH91" i="5"/>
  <c r="BJ91" i="5"/>
  <c r="BE91" i="5"/>
  <c r="BD91" i="5"/>
  <c r="BA91" i="5"/>
  <c r="BP91" i="5" s="1"/>
  <c r="AU91" i="5"/>
  <c r="BB91" i="5" s="1"/>
  <c r="AY91" i="5"/>
  <c r="AV91" i="5"/>
  <c r="BC91" i="5" s="1"/>
  <c r="CH158" i="5"/>
  <c r="CJ158" i="5"/>
  <c r="CG158" i="5"/>
  <c r="CF158" i="5"/>
  <c r="CE158" i="5"/>
  <c r="CD158" i="5"/>
  <c r="CI158" i="5"/>
  <c r="CA158" i="5"/>
  <c r="CC158" i="5"/>
  <c r="BZ158" i="5"/>
  <c r="BQ158" i="5"/>
  <c r="CK158" i="5"/>
  <c r="BT158" i="5"/>
  <c r="BM158" i="5"/>
  <c r="BY158" i="5"/>
  <c r="BR158" i="5"/>
  <c r="BX158" i="5"/>
  <c r="BJ158" i="5"/>
  <c r="BF158" i="5"/>
  <c r="BU158" i="5"/>
  <c r="BV158" i="5"/>
  <c r="BS158" i="5"/>
  <c r="BH158" i="5"/>
  <c r="AY158" i="5"/>
  <c r="BW158" i="5"/>
  <c r="BL158" i="5"/>
  <c r="BK158" i="5"/>
  <c r="BD158" i="5"/>
  <c r="BI158" i="5"/>
  <c r="BE158" i="5"/>
  <c r="BA158" i="5"/>
  <c r="BP158" i="5" s="1"/>
  <c r="AZ158" i="5"/>
  <c r="BG158" i="5"/>
  <c r="AV158" i="5"/>
  <c r="BO158" i="5" s="1"/>
  <c r="AU158" i="5"/>
  <c r="BB158" i="5" s="1"/>
  <c r="CI74" i="5"/>
  <c r="CK74" i="5"/>
  <c r="CF74" i="5"/>
  <c r="CC74" i="5"/>
  <c r="CE74" i="5"/>
  <c r="CA74" i="5"/>
  <c r="CD74" i="5"/>
  <c r="BY74" i="5"/>
  <c r="BW74" i="5"/>
  <c r="BT74" i="5"/>
  <c r="BU74" i="5"/>
  <c r="BV74" i="5"/>
  <c r="BS74" i="5"/>
  <c r="BI74" i="5"/>
  <c r="BF74" i="5"/>
  <c r="BR74" i="5"/>
  <c r="BQ74" i="5"/>
  <c r="BJ74" i="5"/>
  <c r="BD74" i="5"/>
  <c r="BM74" i="5"/>
  <c r="AY74" i="5"/>
  <c r="BK74" i="5"/>
  <c r="BH74" i="5"/>
  <c r="BG74" i="5"/>
  <c r="BA74" i="5"/>
  <c r="BP74" i="5" s="1"/>
  <c r="AZ74" i="5"/>
  <c r="BE74" i="5"/>
  <c r="AU74" i="5"/>
  <c r="BN74" i="5" s="1"/>
  <c r="AV74" i="5"/>
  <c r="BC74" i="5" s="1"/>
  <c r="CI136" i="5"/>
  <c r="CK136" i="5"/>
  <c r="CE136" i="5"/>
  <c r="CF136" i="5"/>
  <c r="CD136" i="5"/>
  <c r="BY136" i="5"/>
  <c r="BV136" i="5"/>
  <c r="CA136" i="5"/>
  <c r="BW136" i="5"/>
  <c r="BR136" i="5"/>
  <c r="BS136" i="5"/>
  <c r="BT136" i="5"/>
  <c r="CC136" i="5"/>
  <c r="BD136" i="5"/>
  <c r="BH136" i="5"/>
  <c r="BU136" i="5"/>
  <c r="BK136" i="5"/>
  <c r="BA136" i="5"/>
  <c r="BP136" i="5" s="1"/>
  <c r="BQ136" i="5"/>
  <c r="BE136" i="5"/>
  <c r="BM136" i="5"/>
  <c r="BJ136" i="5"/>
  <c r="BG136" i="5"/>
  <c r="BF136" i="5"/>
  <c r="BI136" i="5"/>
  <c r="AZ136" i="5"/>
  <c r="AY136" i="5"/>
  <c r="AV136" i="5"/>
  <c r="BO136" i="5" s="1"/>
  <c r="AU136" i="5"/>
  <c r="BB136" i="5" s="1"/>
  <c r="CI40" i="5"/>
  <c r="CK40" i="5"/>
  <c r="CE40" i="5"/>
  <c r="CC40" i="5"/>
  <c r="CD40" i="5"/>
  <c r="BY40" i="5"/>
  <c r="BV40" i="5"/>
  <c r="CA40" i="5"/>
  <c r="CF40" i="5"/>
  <c r="BW40" i="5"/>
  <c r="BR40" i="5"/>
  <c r="BS40" i="5"/>
  <c r="BT40" i="5"/>
  <c r="BU40" i="5"/>
  <c r="BM40" i="5"/>
  <c r="BD40" i="5"/>
  <c r="BH40" i="5"/>
  <c r="BI40" i="5"/>
  <c r="BA40" i="5"/>
  <c r="BP40" i="5" s="1"/>
  <c r="BQ40" i="5"/>
  <c r="BJ40" i="5"/>
  <c r="BK40" i="5"/>
  <c r="BG40" i="5"/>
  <c r="BF40" i="5"/>
  <c r="AZ40" i="5"/>
  <c r="AY40" i="5"/>
  <c r="BE40" i="5"/>
  <c r="AU40" i="5"/>
  <c r="BB40" i="5" s="1"/>
  <c r="AV40" i="5"/>
  <c r="BO40" i="5" s="1"/>
  <c r="CI19" i="5"/>
  <c r="CK19" i="5"/>
  <c r="CE19" i="5"/>
  <c r="CF19" i="5"/>
  <c r="CC19" i="5"/>
  <c r="BY19" i="5"/>
  <c r="CA19" i="5"/>
  <c r="BV19" i="5"/>
  <c r="CD19" i="5"/>
  <c r="BQ19" i="5"/>
  <c r="BR19" i="5"/>
  <c r="BT19" i="5"/>
  <c r="BW19" i="5"/>
  <c r="BU19" i="5"/>
  <c r="BJ19" i="5"/>
  <c r="BG19" i="5"/>
  <c r="BM19" i="5"/>
  <c r="BH19" i="5"/>
  <c r="AZ19" i="5"/>
  <c r="BS19" i="5"/>
  <c r="BI19" i="5"/>
  <c r="BK19" i="5"/>
  <c r="BF19" i="5"/>
  <c r="BD19" i="5"/>
  <c r="BA19" i="5"/>
  <c r="BP19" i="5" s="1"/>
  <c r="AY19" i="5"/>
  <c r="BE19" i="5"/>
  <c r="AU19" i="5"/>
  <c r="BB19" i="5" s="1"/>
  <c r="AV19" i="5"/>
  <c r="BO19" i="5" s="1"/>
  <c r="CG92" i="5"/>
  <c r="CJ92" i="5"/>
  <c r="CI92" i="5"/>
  <c r="CK92" i="5"/>
  <c r="CE92" i="5"/>
  <c r="CF92" i="5"/>
  <c r="CC92" i="5"/>
  <c r="CH92" i="5"/>
  <c r="CA92" i="5"/>
  <c r="CD92" i="5"/>
  <c r="BZ92" i="5"/>
  <c r="BY92" i="5"/>
  <c r="BJ92" i="5"/>
  <c r="BL92" i="5"/>
  <c r="BK92" i="5"/>
  <c r="BM92" i="5"/>
  <c r="BS92" i="5"/>
  <c r="BX92" i="5"/>
  <c r="BW92" i="5"/>
  <c r="BH92" i="5"/>
  <c r="BQ92" i="5"/>
  <c r="BI92" i="5"/>
  <c r="BD92" i="5"/>
  <c r="BV92" i="5"/>
  <c r="BU92" i="5"/>
  <c r="BG92" i="5"/>
  <c r="BT92" i="5"/>
  <c r="BR92" i="5"/>
  <c r="BE92" i="5"/>
  <c r="BA92" i="5"/>
  <c r="BP92" i="5" s="1"/>
  <c r="BF92" i="5"/>
  <c r="AZ92" i="5"/>
  <c r="AY92" i="5"/>
  <c r="AU92" i="5"/>
  <c r="BB92" i="5" s="1"/>
  <c r="AV92" i="5"/>
  <c r="BC92" i="5" s="1"/>
  <c r="CI159" i="5"/>
  <c r="CK159" i="5"/>
  <c r="CF159" i="5"/>
  <c r="CC159" i="5"/>
  <c r="CD159" i="5"/>
  <c r="BY159" i="5"/>
  <c r="BW159" i="5"/>
  <c r="BU159" i="5"/>
  <c r="CE159" i="5"/>
  <c r="BI159" i="5"/>
  <c r="CA159" i="5"/>
  <c r="BV159" i="5"/>
  <c r="BS159" i="5"/>
  <c r="BJ159" i="5"/>
  <c r="BQ159" i="5"/>
  <c r="BG159" i="5"/>
  <c r="BT159" i="5"/>
  <c r="BR159" i="5"/>
  <c r="BM159" i="5"/>
  <c r="BD159" i="5"/>
  <c r="BF159" i="5"/>
  <c r="AZ159" i="5"/>
  <c r="BH159" i="5"/>
  <c r="BK159" i="5"/>
  <c r="BA159" i="5"/>
  <c r="BP159" i="5" s="1"/>
  <c r="AY159" i="5"/>
  <c r="BE159" i="5"/>
  <c r="AU159" i="5"/>
  <c r="BN159" i="5" s="1"/>
  <c r="AV159" i="5"/>
  <c r="CI11" i="5"/>
  <c r="CK11" i="5"/>
  <c r="CE11" i="5"/>
  <c r="CC11" i="5"/>
  <c r="CF11" i="5"/>
  <c r="CD11" i="5"/>
  <c r="BY11" i="5"/>
  <c r="BV11" i="5"/>
  <c r="BW11" i="5"/>
  <c r="BQ11" i="5"/>
  <c r="BR11" i="5"/>
  <c r="CA11" i="5"/>
  <c r="BU11" i="5"/>
  <c r="BM11" i="5"/>
  <c r="BK11" i="5"/>
  <c r="BG11" i="5"/>
  <c r="BT11" i="5"/>
  <c r="BS11" i="5"/>
  <c r="BI11" i="5"/>
  <c r="AZ11" i="5"/>
  <c r="BH11" i="5"/>
  <c r="BJ11" i="5"/>
  <c r="BA11" i="5"/>
  <c r="BP11" i="5" s="1"/>
  <c r="BE11" i="5"/>
  <c r="BD11" i="5"/>
  <c r="BF11" i="5"/>
  <c r="AY11" i="5"/>
  <c r="AU11" i="5"/>
  <c r="BB11" i="5" s="1"/>
  <c r="AV11" i="5"/>
  <c r="BC11" i="5" s="1"/>
  <c r="CI84" i="5"/>
  <c r="CK84" i="5"/>
  <c r="CE84" i="5"/>
  <c r="CF84" i="5"/>
  <c r="BW84" i="5"/>
  <c r="CD84" i="5"/>
  <c r="CA84" i="5"/>
  <c r="BV84" i="5"/>
  <c r="BJ84" i="5"/>
  <c r="BS84" i="5"/>
  <c r="BK84" i="5"/>
  <c r="BT84" i="5"/>
  <c r="BM84" i="5"/>
  <c r="BH84" i="5"/>
  <c r="CC84" i="5"/>
  <c r="BY84" i="5"/>
  <c r="BD84" i="5"/>
  <c r="BU84" i="5"/>
  <c r="BR84" i="5"/>
  <c r="BQ84" i="5"/>
  <c r="BF84" i="5"/>
  <c r="BA84" i="5"/>
  <c r="BP84" i="5" s="1"/>
  <c r="BI84" i="5"/>
  <c r="BE84" i="5"/>
  <c r="BG84" i="5"/>
  <c r="AZ84" i="5"/>
  <c r="AY84" i="5"/>
  <c r="AU84" i="5"/>
  <c r="BN84" i="5" s="1"/>
  <c r="AV84" i="5"/>
  <c r="BC84" i="5" s="1"/>
  <c r="CI152" i="5"/>
  <c r="CK152" i="5"/>
  <c r="CE152" i="5"/>
  <c r="CF152" i="5"/>
  <c r="CD152" i="5"/>
  <c r="BY152" i="5"/>
  <c r="CC152" i="5"/>
  <c r="BV152" i="5"/>
  <c r="BW152" i="5"/>
  <c r="BR152" i="5"/>
  <c r="BS152" i="5"/>
  <c r="CA152" i="5"/>
  <c r="BQ152" i="5"/>
  <c r="BD152" i="5"/>
  <c r="BU152" i="5"/>
  <c r="BH152" i="5"/>
  <c r="BM152" i="5"/>
  <c r="BA152" i="5"/>
  <c r="BP152" i="5" s="1"/>
  <c r="BT152" i="5"/>
  <c r="BJ152" i="5"/>
  <c r="BK152" i="5"/>
  <c r="BI152" i="5"/>
  <c r="BF152" i="5"/>
  <c r="BE152" i="5"/>
  <c r="BG152" i="5"/>
  <c r="AZ152" i="5"/>
  <c r="AY152" i="5"/>
  <c r="AV152" i="5"/>
  <c r="AU152" i="5"/>
  <c r="BN152" i="5" s="1"/>
  <c r="CI12" i="5"/>
  <c r="CK12" i="5"/>
  <c r="CE12" i="5"/>
  <c r="CD12" i="5"/>
  <c r="CC12" i="5"/>
  <c r="BW12" i="5"/>
  <c r="CA12" i="5"/>
  <c r="BV12" i="5"/>
  <c r="CF12" i="5"/>
  <c r="BY12" i="5"/>
  <c r="BQ12" i="5"/>
  <c r="BJ12" i="5"/>
  <c r="BT12" i="5"/>
  <c r="BK12" i="5"/>
  <c r="BU12" i="5"/>
  <c r="BI12" i="5"/>
  <c r="BR12" i="5"/>
  <c r="BD12" i="5"/>
  <c r="BE12" i="5"/>
  <c r="BS12" i="5"/>
  <c r="BH12" i="5"/>
  <c r="BG12" i="5"/>
  <c r="BA12" i="5"/>
  <c r="BP12" i="5" s="1"/>
  <c r="BM12" i="5"/>
  <c r="BF12" i="5"/>
  <c r="AZ12" i="5"/>
  <c r="AY12" i="5"/>
  <c r="AU12" i="5"/>
  <c r="BN12" i="5" s="1"/>
  <c r="AV12" i="5"/>
  <c r="BC12" i="5" s="1"/>
  <c r="CK85" i="5"/>
  <c r="CG85" i="5"/>
  <c r="CI85" i="5"/>
  <c r="CF85" i="5"/>
  <c r="CD85" i="5"/>
  <c r="CH85" i="5"/>
  <c r="CC85" i="5"/>
  <c r="BZ85" i="5"/>
  <c r="CE85" i="5"/>
  <c r="CA85" i="5"/>
  <c r="CJ85" i="5"/>
  <c r="BY85" i="5"/>
  <c r="BX85" i="5"/>
  <c r="BW85" i="5"/>
  <c r="BS85" i="5"/>
  <c r="BT85" i="5"/>
  <c r="BU85" i="5"/>
  <c r="BL85" i="5"/>
  <c r="BV85" i="5"/>
  <c r="BE85" i="5"/>
  <c r="BD85" i="5"/>
  <c r="BR85" i="5"/>
  <c r="BM85" i="5"/>
  <c r="BQ85" i="5"/>
  <c r="BF85" i="5"/>
  <c r="BH85" i="5"/>
  <c r="BI85" i="5"/>
  <c r="BJ85" i="5"/>
  <c r="BK85" i="5"/>
  <c r="BG85" i="5"/>
  <c r="BA85" i="5"/>
  <c r="BP85" i="5" s="1"/>
  <c r="AZ85" i="5"/>
  <c r="AY85" i="5"/>
  <c r="AU85" i="5"/>
  <c r="BN85" i="5" s="1"/>
  <c r="AV85" i="5"/>
  <c r="BC85" i="5" s="1"/>
  <c r="CK153" i="5"/>
  <c r="CF153" i="5"/>
  <c r="CE153" i="5"/>
  <c r="CI153" i="5"/>
  <c r="CA153" i="5"/>
  <c r="CC153" i="5"/>
  <c r="BY153" i="5"/>
  <c r="CD153" i="5"/>
  <c r="BW153" i="5"/>
  <c r="BR153" i="5"/>
  <c r="BK153" i="5"/>
  <c r="BU153" i="5"/>
  <c r="BM153" i="5"/>
  <c r="BJ153" i="5"/>
  <c r="BE153" i="5"/>
  <c r="BV153" i="5"/>
  <c r="BT153" i="5"/>
  <c r="BS153" i="5"/>
  <c r="BQ153" i="5"/>
  <c r="BI153" i="5"/>
  <c r="BF153" i="5"/>
  <c r="BH153" i="5"/>
  <c r="BG153" i="5"/>
  <c r="AY153" i="5"/>
  <c r="BA153" i="5"/>
  <c r="BP153" i="5" s="1"/>
  <c r="BD153" i="5"/>
  <c r="AZ153" i="5"/>
  <c r="AV153" i="5"/>
  <c r="BO153" i="5" s="1"/>
  <c r="AU153" i="5"/>
  <c r="BN153" i="5" s="1"/>
  <c r="CI28" i="5"/>
  <c r="CK28" i="5"/>
  <c r="CH28" i="5"/>
  <c r="CJ28" i="5"/>
  <c r="CF28" i="5"/>
  <c r="CE28" i="5"/>
  <c r="CG28" i="5"/>
  <c r="CD28" i="5"/>
  <c r="CC28" i="5"/>
  <c r="BZ28" i="5"/>
  <c r="BW28" i="5"/>
  <c r="BJ28" i="5"/>
  <c r="BM28" i="5"/>
  <c r="BK28" i="5"/>
  <c r="BS28" i="5"/>
  <c r="BV28" i="5"/>
  <c r="BL28" i="5"/>
  <c r="CA28" i="5"/>
  <c r="BH28" i="5"/>
  <c r="BI28" i="5"/>
  <c r="BD28" i="5"/>
  <c r="BY28" i="5"/>
  <c r="BT28" i="5"/>
  <c r="BR28" i="5"/>
  <c r="BQ28" i="5"/>
  <c r="BG28" i="5"/>
  <c r="BX28" i="5"/>
  <c r="BU28" i="5"/>
  <c r="BE28" i="5"/>
  <c r="BA28" i="5"/>
  <c r="BP28" i="5" s="1"/>
  <c r="BF28" i="5"/>
  <c r="AZ28" i="5"/>
  <c r="AY28" i="5"/>
  <c r="AU28" i="5"/>
  <c r="BN28" i="5" s="1"/>
  <c r="AV28" i="5"/>
  <c r="BC28" i="5" s="1"/>
  <c r="CK101" i="5"/>
  <c r="CI101" i="5"/>
  <c r="CF101" i="5"/>
  <c r="CD101" i="5"/>
  <c r="CE101" i="5"/>
  <c r="CA101" i="5"/>
  <c r="BW101" i="5"/>
  <c r="CC101" i="5"/>
  <c r="BS101" i="5"/>
  <c r="BY101" i="5"/>
  <c r="BT101" i="5"/>
  <c r="BQ101" i="5"/>
  <c r="BR101" i="5"/>
  <c r="BE101" i="5"/>
  <c r="BM101" i="5"/>
  <c r="BV101" i="5"/>
  <c r="BU101" i="5"/>
  <c r="BK101" i="5"/>
  <c r="BD101" i="5"/>
  <c r="BI101" i="5"/>
  <c r="BF101" i="5"/>
  <c r="BJ101" i="5"/>
  <c r="BH101" i="5"/>
  <c r="BA101" i="5"/>
  <c r="BP101" i="5" s="1"/>
  <c r="BG101" i="5"/>
  <c r="AZ101" i="5"/>
  <c r="AY101" i="5"/>
  <c r="AU101" i="5"/>
  <c r="BB101" i="5" s="1"/>
  <c r="AV101" i="5"/>
  <c r="BO101" i="5" s="1"/>
  <c r="CI167" i="5"/>
  <c r="CK167" i="5"/>
  <c r="CE167" i="5"/>
  <c r="CF167" i="5"/>
  <c r="CC167" i="5"/>
  <c r="BV167" i="5"/>
  <c r="BU167" i="5"/>
  <c r="CD167" i="5"/>
  <c r="CA167" i="5"/>
  <c r="BY167" i="5"/>
  <c r="BI167" i="5"/>
  <c r="BR167" i="5"/>
  <c r="BJ167" i="5"/>
  <c r="BW167" i="5"/>
  <c r="BM167" i="5"/>
  <c r="BQ167" i="5"/>
  <c r="BG167" i="5"/>
  <c r="BT167" i="5"/>
  <c r="BS167" i="5"/>
  <c r="BE167" i="5"/>
  <c r="AZ167" i="5"/>
  <c r="BH167" i="5"/>
  <c r="BK167" i="5"/>
  <c r="BD167" i="5"/>
  <c r="BF167" i="5"/>
  <c r="BA167" i="5"/>
  <c r="BP167" i="5" s="1"/>
  <c r="AY167" i="5"/>
  <c r="AU167" i="5"/>
  <c r="AV167" i="5"/>
  <c r="BO167" i="5" s="1"/>
  <c r="CI20" i="5"/>
  <c r="CK20" i="5"/>
  <c r="CE20" i="5"/>
  <c r="CC20" i="5"/>
  <c r="CF20" i="5"/>
  <c r="CA20" i="5"/>
  <c r="BJ20" i="5"/>
  <c r="BS20" i="5"/>
  <c r="BK20" i="5"/>
  <c r="BV20" i="5"/>
  <c r="BT20" i="5"/>
  <c r="BY20" i="5"/>
  <c r="CD20" i="5"/>
  <c r="BW20" i="5"/>
  <c r="BM20" i="5"/>
  <c r="BH20" i="5"/>
  <c r="BU20" i="5"/>
  <c r="BD20" i="5"/>
  <c r="BQ20" i="5"/>
  <c r="BR20" i="5"/>
  <c r="BF20" i="5"/>
  <c r="BA20" i="5"/>
  <c r="BP20" i="5" s="1"/>
  <c r="BG20" i="5"/>
  <c r="BI20" i="5"/>
  <c r="BE20" i="5"/>
  <c r="AZ20" i="5"/>
  <c r="AY20" i="5"/>
  <c r="AU20" i="5"/>
  <c r="BB20" i="5" s="1"/>
  <c r="AV20" i="5"/>
  <c r="BO20" i="5" s="1"/>
  <c r="CK93" i="5"/>
  <c r="CF93" i="5"/>
  <c r="CI93" i="5"/>
  <c r="CD93" i="5"/>
  <c r="CA93" i="5"/>
  <c r="BW93" i="5"/>
  <c r="CC93" i="5"/>
  <c r="BV93" i="5"/>
  <c r="BS93" i="5"/>
  <c r="BT93" i="5"/>
  <c r="CE93" i="5"/>
  <c r="BY93" i="5"/>
  <c r="BR93" i="5"/>
  <c r="BE93" i="5"/>
  <c r="BU93" i="5"/>
  <c r="BQ93" i="5"/>
  <c r="BM93" i="5"/>
  <c r="BK93" i="5"/>
  <c r="BG93" i="5"/>
  <c r="BD93" i="5"/>
  <c r="BI93" i="5"/>
  <c r="BF93" i="5"/>
  <c r="BH93" i="5"/>
  <c r="BJ93" i="5"/>
  <c r="AZ93" i="5"/>
  <c r="AY93" i="5"/>
  <c r="BA93" i="5"/>
  <c r="BP93" i="5" s="1"/>
  <c r="AU93" i="5"/>
  <c r="BN93" i="5" s="1"/>
  <c r="AV93" i="5"/>
  <c r="BC93" i="5" s="1"/>
  <c r="CI160" i="5"/>
  <c r="CK160" i="5"/>
  <c r="CE160" i="5"/>
  <c r="CF160" i="5"/>
  <c r="CD160" i="5"/>
  <c r="BY160" i="5"/>
  <c r="BV160" i="5"/>
  <c r="BW160" i="5"/>
  <c r="CC160" i="5"/>
  <c r="BR160" i="5"/>
  <c r="BS160" i="5"/>
  <c r="CA160" i="5"/>
  <c r="BU160" i="5"/>
  <c r="BD160" i="5"/>
  <c r="BK160" i="5"/>
  <c r="BH160" i="5"/>
  <c r="BT160" i="5"/>
  <c r="BJ160" i="5"/>
  <c r="BA160" i="5"/>
  <c r="BP160" i="5" s="1"/>
  <c r="BQ160" i="5"/>
  <c r="BM160" i="5"/>
  <c r="BI160" i="5"/>
  <c r="BG160" i="5"/>
  <c r="BF160" i="5"/>
  <c r="AZ160" i="5"/>
  <c r="BE160" i="5"/>
  <c r="AY160" i="5"/>
  <c r="AV160" i="5"/>
  <c r="BC160" i="5" s="1"/>
  <c r="AU160" i="5"/>
  <c r="BB160" i="5" s="1"/>
  <c r="CK21" i="5"/>
  <c r="CF21" i="5"/>
  <c r="CI21" i="5"/>
  <c r="CD21" i="5"/>
  <c r="CC21" i="5"/>
  <c r="CA21" i="5"/>
  <c r="BW21" i="5"/>
  <c r="BY21" i="5"/>
  <c r="BS21" i="5"/>
  <c r="BT21" i="5"/>
  <c r="CE21" i="5"/>
  <c r="BU21" i="5"/>
  <c r="BM21" i="5"/>
  <c r="BV21" i="5"/>
  <c r="BR21" i="5"/>
  <c r="BE21" i="5"/>
  <c r="BQ21" i="5"/>
  <c r="BD21" i="5"/>
  <c r="BJ21" i="5"/>
  <c r="BG21" i="5"/>
  <c r="BK21" i="5"/>
  <c r="BF21" i="5"/>
  <c r="BH21" i="5"/>
  <c r="BI21" i="5"/>
  <c r="BA21" i="5"/>
  <c r="BP21" i="5" s="1"/>
  <c r="AZ21" i="5"/>
  <c r="AY21" i="5"/>
  <c r="AU21" i="5"/>
  <c r="AV21" i="5"/>
  <c r="BC21" i="5" s="1"/>
  <c r="CG94" i="5"/>
  <c r="CJ94" i="5"/>
  <c r="CH94" i="5"/>
  <c r="CI94" i="5"/>
  <c r="CF94" i="5"/>
  <c r="BX94" i="5"/>
  <c r="CA94" i="5"/>
  <c r="CD94" i="5"/>
  <c r="CE94" i="5"/>
  <c r="CK94" i="5"/>
  <c r="BY94" i="5"/>
  <c r="BQ94" i="5"/>
  <c r="BT94" i="5"/>
  <c r="BM94" i="5"/>
  <c r="CC94" i="5"/>
  <c r="BW94" i="5"/>
  <c r="BV94" i="5"/>
  <c r="BR94" i="5"/>
  <c r="BL94" i="5"/>
  <c r="BS94" i="5"/>
  <c r="BZ94" i="5"/>
  <c r="BU94" i="5"/>
  <c r="BJ94" i="5"/>
  <c r="BF94" i="5"/>
  <c r="BK94" i="5"/>
  <c r="BH94" i="5"/>
  <c r="AY94" i="5"/>
  <c r="BE94" i="5"/>
  <c r="BD94" i="5"/>
  <c r="BI94" i="5"/>
  <c r="BA94" i="5"/>
  <c r="BP94" i="5" s="1"/>
  <c r="AZ94" i="5"/>
  <c r="BG94" i="5"/>
  <c r="AV94" i="5"/>
  <c r="BO94" i="5" s="1"/>
  <c r="AU94" i="5"/>
  <c r="BB94" i="5" s="1"/>
  <c r="CK161" i="5"/>
  <c r="CF161" i="5"/>
  <c r="CE161" i="5"/>
  <c r="CC161" i="5"/>
  <c r="CA161" i="5"/>
  <c r="CI161" i="5"/>
  <c r="CD161" i="5"/>
  <c r="BV161" i="5"/>
  <c r="BW161" i="5"/>
  <c r="BQ161" i="5"/>
  <c r="BK161" i="5"/>
  <c r="BT161" i="5"/>
  <c r="BM161" i="5"/>
  <c r="BU161" i="5"/>
  <c r="BY161" i="5"/>
  <c r="BI161" i="5"/>
  <c r="BS161" i="5"/>
  <c r="BE161" i="5"/>
  <c r="BR161" i="5"/>
  <c r="BG161" i="5"/>
  <c r="BJ161" i="5"/>
  <c r="BF161" i="5"/>
  <c r="BH161" i="5"/>
  <c r="BA161" i="5"/>
  <c r="BP161" i="5" s="1"/>
  <c r="AZ161" i="5"/>
  <c r="BD161" i="5"/>
  <c r="AY161" i="5"/>
  <c r="AV161" i="5"/>
  <c r="BC161" i="5" s="1"/>
  <c r="AU161" i="5"/>
  <c r="BN161" i="5" s="1"/>
  <c r="CI68" i="5"/>
  <c r="CK68" i="5"/>
  <c r="CE68" i="5"/>
  <c r="CF68" i="5"/>
  <c r="CC68" i="5"/>
  <c r="CD68" i="5"/>
  <c r="CA68" i="5"/>
  <c r="BY68" i="5"/>
  <c r="BR68" i="5"/>
  <c r="BJ68" i="5"/>
  <c r="BU68" i="5"/>
  <c r="BK68" i="5"/>
  <c r="BW68" i="5"/>
  <c r="BH68" i="5"/>
  <c r="BD68" i="5"/>
  <c r="BI68" i="5"/>
  <c r="BF68" i="5"/>
  <c r="BV68" i="5"/>
  <c r="BT68" i="5"/>
  <c r="BS68" i="5"/>
  <c r="BQ68" i="5"/>
  <c r="BA68" i="5"/>
  <c r="BP68" i="5" s="1"/>
  <c r="BM68" i="5"/>
  <c r="BG68" i="5"/>
  <c r="AY68" i="5"/>
  <c r="BE68" i="5"/>
  <c r="AZ68" i="5"/>
  <c r="AU68" i="5"/>
  <c r="BN68" i="5" s="1"/>
  <c r="AV68" i="5"/>
  <c r="BO68" i="5" s="1"/>
  <c r="CI138" i="5"/>
  <c r="CK138" i="5"/>
  <c r="CF138" i="5"/>
  <c r="CC138" i="5"/>
  <c r="CA138" i="5"/>
  <c r="CE138" i="5"/>
  <c r="CD138" i="5"/>
  <c r="BY138" i="5"/>
  <c r="BW138" i="5"/>
  <c r="BT138" i="5"/>
  <c r="BU138" i="5"/>
  <c r="BS138" i="5"/>
  <c r="BI138" i="5"/>
  <c r="BQ138" i="5"/>
  <c r="BF138" i="5"/>
  <c r="BM138" i="5"/>
  <c r="BD138" i="5"/>
  <c r="BR138" i="5"/>
  <c r="BV138" i="5"/>
  <c r="BJ138" i="5"/>
  <c r="AY138" i="5"/>
  <c r="BK138" i="5"/>
  <c r="BG138" i="5"/>
  <c r="BH138" i="5"/>
  <c r="BA138" i="5"/>
  <c r="BP138" i="5" s="1"/>
  <c r="AZ138" i="5"/>
  <c r="BE138" i="5"/>
  <c r="AU138" i="5"/>
  <c r="BN138" i="5" s="1"/>
  <c r="AV138" i="5"/>
  <c r="CI202" i="5"/>
  <c r="CK202" i="5"/>
  <c r="CE202" i="5"/>
  <c r="CF202" i="5"/>
  <c r="CC202" i="5"/>
  <c r="CA202" i="5"/>
  <c r="CD202" i="5"/>
  <c r="BY202" i="5"/>
  <c r="BW202" i="5"/>
  <c r="BT202" i="5"/>
  <c r="BU202" i="5"/>
  <c r="BS202" i="5"/>
  <c r="BI202" i="5"/>
  <c r="BV202" i="5"/>
  <c r="BF202" i="5"/>
  <c r="BR202" i="5"/>
  <c r="BQ202" i="5"/>
  <c r="BJ202" i="5"/>
  <c r="BD202" i="5"/>
  <c r="AY202" i="5"/>
  <c r="BM202" i="5"/>
  <c r="BH202" i="5"/>
  <c r="BK202" i="5"/>
  <c r="BG202" i="5"/>
  <c r="BE202" i="5"/>
  <c r="BA202" i="5"/>
  <c r="BP202" i="5" s="1"/>
  <c r="AZ202" i="5"/>
  <c r="AU202" i="5"/>
  <c r="AV202" i="5"/>
  <c r="BC202" i="5" s="1"/>
  <c r="CI60" i="5"/>
  <c r="CK60" i="5"/>
  <c r="CF60" i="5"/>
  <c r="CE60" i="5"/>
  <c r="CD60" i="5"/>
  <c r="CC60" i="5"/>
  <c r="BW60" i="5"/>
  <c r="BJ60" i="5"/>
  <c r="CA60" i="5"/>
  <c r="BV60" i="5"/>
  <c r="BK60" i="5"/>
  <c r="BY60" i="5"/>
  <c r="BQ60" i="5"/>
  <c r="BM60" i="5"/>
  <c r="BR60" i="5"/>
  <c r="BH60" i="5"/>
  <c r="BT60" i="5"/>
  <c r="BI60" i="5"/>
  <c r="BD60" i="5"/>
  <c r="BU60" i="5"/>
  <c r="BS60" i="5"/>
  <c r="BG60" i="5"/>
  <c r="BE60" i="5"/>
  <c r="BA60" i="5"/>
  <c r="BP60" i="5" s="1"/>
  <c r="AZ60" i="5"/>
  <c r="BF60" i="5"/>
  <c r="AY60" i="5"/>
  <c r="AV60" i="5"/>
  <c r="BC60" i="5" s="1"/>
  <c r="AU60" i="5"/>
  <c r="BN60" i="5" s="1"/>
  <c r="CI131" i="5"/>
  <c r="CE131" i="5"/>
  <c r="CK131" i="5"/>
  <c r="CD131" i="5"/>
  <c r="CC131" i="5"/>
  <c r="BY131" i="5"/>
  <c r="BV131" i="5"/>
  <c r="CF131" i="5"/>
  <c r="BQ131" i="5"/>
  <c r="BW131" i="5"/>
  <c r="BR131" i="5"/>
  <c r="CA131" i="5"/>
  <c r="BS131" i="5"/>
  <c r="BJ131" i="5"/>
  <c r="BG131" i="5"/>
  <c r="BU131" i="5"/>
  <c r="BT131" i="5"/>
  <c r="AZ131" i="5"/>
  <c r="BM131" i="5"/>
  <c r="BH131" i="5"/>
  <c r="BK131" i="5"/>
  <c r="BI131" i="5"/>
  <c r="BA131" i="5"/>
  <c r="BP131" i="5" s="1"/>
  <c r="BE131" i="5"/>
  <c r="BF131" i="5"/>
  <c r="BD131" i="5"/>
  <c r="AY131" i="5"/>
  <c r="AU131" i="5"/>
  <c r="BN131" i="5" s="1"/>
  <c r="AV131" i="5"/>
  <c r="BO131" i="5" s="1"/>
  <c r="CI195" i="5"/>
  <c r="CK195" i="5"/>
  <c r="CC195" i="5"/>
  <c r="BY195" i="5"/>
  <c r="CD195" i="5"/>
  <c r="CF195" i="5"/>
  <c r="BQ195" i="5"/>
  <c r="CE195" i="5"/>
  <c r="BW195" i="5"/>
  <c r="BR195" i="5"/>
  <c r="CA195" i="5"/>
  <c r="BV195" i="5"/>
  <c r="BJ195" i="5"/>
  <c r="BT195" i="5"/>
  <c r="BG195" i="5"/>
  <c r="BM195" i="5"/>
  <c r="AZ195" i="5"/>
  <c r="BU195" i="5"/>
  <c r="BS195" i="5"/>
  <c r="BH195" i="5"/>
  <c r="BI195" i="5"/>
  <c r="BK195" i="5"/>
  <c r="BF195" i="5"/>
  <c r="BD195" i="5"/>
  <c r="BA195" i="5"/>
  <c r="BP195" i="5" s="1"/>
  <c r="BE195" i="5"/>
  <c r="AY195" i="5"/>
  <c r="AU195" i="5"/>
  <c r="BN195" i="5" s="1"/>
  <c r="AV195" i="5"/>
  <c r="BC195" i="5" s="1"/>
  <c r="CI43" i="5"/>
  <c r="CE43" i="5"/>
  <c r="CC43" i="5"/>
  <c r="BY43" i="5"/>
  <c r="CF43" i="5"/>
  <c r="CD43" i="5"/>
  <c r="BV43" i="5"/>
  <c r="CK43" i="5"/>
  <c r="BQ43" i="5"/>
  <c r="BR43" i="5"/>
  <c r="BU43" i="5"/>
  <c r="BS43" i="5"/>
  <c r="BM43" i="5"/>
  <c r="CA43" i="5"/>
  <c r="BT43" i="5"/>
  <c r="BK43" i="5"/>
  <c r="BG43" i="5"/>
  <c r="AZ43" i="5"/>
  <c r="BW43" i="5"/>
  <c r="BI43" i="5"/>
  <c r="BF43" i="5"/>
  <c r="BJ43" i="5"/>
  <c r="BH43" i="5"/>
  <c r="BE43" i="5"/>
  <c r="BD43" i="5"/>
  <c r="BA43" i="5"/>
  <c r="BP43" i="5" s="1"/>
  <c r="AY43" i="5"/>
  <c r="AU43" i="5"/>
  <c r="BB43" i="5" s="1"/>
  <c r="AV43" i="5"/>
  <c r="BC43" i="5" s="1"/>
  <c r="CI116" i="5"/>
  <c r="CK116" i="5"/>
  <c r="CE116" i="5"/>
  <c r="CF116" i="5"/>
  <c r="CC116" i="5"/>
  <c r="CD116" i="5"/>
  <c r="BW116" i="5"/>
  <c r="CA116" i="5"/>
  <c r="BJ116" i="5"/>
  <c r="BS116" i="5"/>
  <c r="BK116" i="5"/>
  <c r="BQ116" i="5"/>
  <c r="BR116" i="5"/>
  <c r="BY116" i="5"/>
  <c r="BH116" i="5"/>
  <c r="BD116" i="5"/>
  <c r="BU116" i="5"/>
  <c r="BT116" i="5"/>
  <c r="BV116" i="5"/>
  <c r="BF116" i="5"/>
  <c r="BA116" i="5"/>
  <c r="BP116" i="5" s="1"/>
  <c r="BM116" i="5"/>
  <c r="BI116" i="5"/>
  <c r="BG116" i="5"/>
  <c r="BE116" i="5"/>
  <c r="AZ116" i="5"/>
  <c r="AY116" i="5"/>
  <c r="AV116" i="5"/>
  <c r="BC116" i="5" s="1"/>
  <c r="AU116" i="5"/>
  <c r="BB116" i="5" s="1"/>
  <c r="CI180" i="5"/>
  <c r="CK180" i="5"/>
  <c r="CE180" i="5"/>
  <c r="CF180" i="5"/>
  <c r="CC180" i="5"/>
  <c r="CD180" i="5"/>
  <c r="BY180" i="5"/>
  <c r="BW180" i="5"/>
  <c r="BJ180" i="5"/>
  <c r="BS180" i="5"/>
  <c r="BK180" i="5"/>
  <c r="BR180" i="5"/>
  <c r="BV180" i="5"/>
  <c r="BQ180" i="5"/>
  <c r="BU180" i="5"/>
  <c r="BH180" i="5"/>
  <c r="BD180" i="5"/>
  <c r="BT180" i="5"/>
  <c r="CA180" i="5"/>
  <c r="BM180" i="5"/>
  <c r="BF180" i="5"/>
  <c r="BA180" i="5"/>
  <c r="BP180" i="5" s="1"/>
  <c r="BI180" i="5"/>
  <c r="BG180" i="5"/>
  <c r="AZ180" i="5"/>
  <c r="BE180" i="5"/>
  <c r="AY180" i="5"/>
  <c r="AV180" i="5"/>
  <c r="BO180" i="5" s="1"/>
  <c r="AU180" i="5"/>
  <c r="CI44" i="5"/>
  <c r="CK44" i="5"/>
  <c r="CE44" i="5"/>
  <c r="CF44" i="5"/>
  <c r="CD44" i="5"/>
  <c r="BW44" i="5"/>
  <c r="BY44" i="5"/>
  <c r="BV44" i="5"/>
  <c r="CC44" i="5"/>
  <c r="BQ44" i="5"/>
  <c r="BJ44" i="5"/>
  <c r="CA44" i="5"/>
  <c r="BT44" i="5"/>
  <c r="BK44" i="5"/>
  <c r="BR44" i="5"/>
  <c r="BI44" i="5"/>
  <c r="BH44" i="5"/>
  <c r="BD44" i="5"/>
  <c r="BM44" i="5"/>
  <c r="BE44" i="5"/>
  <c r="BU44" i="5"/>
  <c r="BS44" i="5"/>
  <c r="BG44" i="5"/>
  <c r="BA44" i="5"/>
  <c r="BP44" i="5" s="1"/>
  <c r="BF44" i="5"/>
  <c r="AZ44" i="5"/>
  <c r="AY44" i="5"/>
  <c r="AV44" i="5"/>
  <c r="BC44" i="5" s="1"/>
  <c r="AU44" i="5"/>
  <c r="BB44" i="5" s="1"/>
  <c r="CK117" i="5"/>
  <c r="CI117" i="5"/>
  <c r="CF117" i="5"/>
  <c r="CD117" i="5"/>
  <c r="CC117" i="5"/>
  <c r="CA117" i="5"/>
  <c r="BY117" i="5"/>
  <c r="BW117" i="5"/>
  <c r="BS117" i="5"/>
  <c r="CE117" i="5"/>
  <c r="BT117" i="5"/>
  <c r="BU117" i="5"/>
  <c r="BV117" i="5"/>
  <c r="BR117" i="5"/>
  <c r="BE117" i="5"/>
  <c r="BM117" i="5"/>
  <c r="BJ117" i="5"/>
  <c r="BD117" i="5"/>
  <c r="BQ117" i="5"/>
  <c r="BI117" i="5"/>
  <c r="BK117" i="5"/>
  <c r="BH117" i="5"/>
  <c r="BG117" i="5"/>
  <c r="BA117" i="5"/>
  <c r="BP117" i="5" s="1"/>
  <c r="AZ117" i="5"/>
  <c r="BF117" i="5"/>
  <c r="AY117" i="5"/>
  <c r="AV117" i="5"/>
  <c r="BC117" i="5" s="1"/>
  <c r="AU117" i="5"/>
  <c r="BN117" i="5" s="1"/>
  <c r="CK181" i="5"/>
  <c r="CJ181" i="5"/>
  <c r="CI181" i="5"/>
  <c r="CF181" i="5"/>
  <c r="CH181" i="5"/>
  <c r="CG181" i="5"/>
  <c r="CD181" i="5"/>
  <c r="CC181" i="5"/>
  <c r="BZ181" i="5"/>
  <c r="CA181" i="5"/>
  <c r="BY181" i="5"/>
  <c r="BW181" i="5"/>
  <c r="CE181" i="5"/>
  <c r="BS181" i="5"/>
  <c r="BT181" i="5"/>
  <c r="BU181" i="5"/>
  <c r="BX181" i="5"/>
  <c r="BL181" i="5"/>
  <c r="BE181" i="5"/>
  <c r="BR181" i="5"/>
  <c r="BQ181" i="5"/>
  <c r="BI181" i="5"/>
  <c r="BD181" i="5"/>
  <c r="BV181" i="5"/>
  <c r="BJ181" i="5"/>
  <c r="BG181" i="5"/>
  <c r="BK181" i="5"/>
  <c r="BM181" i="5"/>
  <c r="BH181" i="5"/>
  <c r="BA181" i="5"/>
  <c r="BP181" i="5" s="1"/>
  <c r="AZ181" i="5"/>
  <c r="BF181" i="5"/>
  <c r="AY181" i="5"/>
  <c r="AV181" i="5"/>
  <c r="BC181" i="5" s="1"/>
  <c r="AU181" i="5"/>
  <c r="BB181" i="5" s="1"/>
  <c r="CI27" i="5"/>
  <c r="CG27" i="5"/>
  <c r="CK27" i="5"/>
  <c r="CF27" i="5"/>
  <c r="CE27" i="5"/>
  <c r="CH27" i="5"/>
  <c r="CC27" i="5"/>
  <c r="CD27" i="5"/>
  <c r="BY27" i="5"/>
  <c r="BZ27" i="5"/>
  <c r="BW27" i="5"/>
  <c r="BV27" i="5"/>
  <c r="BQ27" i="5"/>
  <c r="CA27" i="5"/>
  <c r="BX27" i="5"/>
  <c r="BR27" i="5"/>
  <c r="CJ27" i="5"/>
  <c r="BS27" i="5"/>
  <c r="BL27" i="5"/>
  <c r="BU27" i="5"/>
  <c r="BT27" i="5"/>
  <c r="BK27" i="5"/>
  <c r="BG27" i="5"/>
  <c r="AZ27" i="5"/>
  <c r="BM27" i="5"/>
  <c r="BI27" i="5"/>
  <c r="BH27" i="5"/>
  <c r="BJ27" i="5"/>
  <c r="BE27" i="5"/>
  <c r="BF27" i="5"/>
  <c r="BD27" i="5"/>
  <c r="BA27" i="5"/>
  <c r="BP27" i="5" s="1"/>
  <c r="AU27" i="5"/>
  <c r="AY27" i="5"/>
  <c r="AV27" i="5"/>
  <c r="BC27" i="5" s="1"/>
  <c r="CI100" i="5"/>
  <c r="CK100" i="5"/>
  <c r="CE100" i="5"/>
  <c r="CF100" i="5"/>
  <c r="CC100" i="5"/>
  <c r="CD100" i="5"/>
  <c r="CA100" i="5"/>
  <c r="BY100" i="5"/>
  <c r="BR100" i="5"/>
  <c r="BJ100" i="5"/>
  <c r="BU100" i="5"/>
  <c r="BK100" i="5"/>
  <c r="BW100" i="5"/>
  <c r="BV100" i="5"/>
  <c r="BQ100" i="5"/>
  <c r="BH100" i="5"/>
  <c r="BT100" i="5"/>
  <c r="BD100" i="5"/>
  <c r="BS100" i="5"/>
  <c r="BM100" i="5"/>
  <c r="BF100" i="5"/>
  <c r="BA100" i="5"/>
  <c r="BP100" i="5" s="1"/>
  <c r="BI100" i="5"/>
  <c r="BE100" i="5"/>
  <c r="BG100" i="5"/>
  <c r="AY100" i="5"/>
  <c r="AZ100" i="5"/>
  <c r="AV100" i="5"/>
  <c r="BC100" i="5" s="1"/>
  <c r="AU100" i="5"/>
  <c r="BN100" i="5" s="1"/>
  <c r="CH166" i="5"/>
  <c r="CK166" i="5"/>
  <c r="CJ166" i="5"/>
  <c r="CF166" i="5"/>
  <c r="CD166" i="5"/>
  <c r="CG166" i="5"/>
  <c r="CI166" i="5"/>
  <c r="CE166" i="5"/>
  <c r="BZ166" i="5"/>
  <c r="BY166" i="5"/>
  <c r="BQ166" i="5"/>
  <c r="CC166" i="5"/>
  <c r="BX166" i="5"/>
  <c r="BS166" i="5"/>
  <c r="BM166" i="5"/>
  <c r="BW166" i="5"/>
  <c r="BT166" i="5"/>
  <c r="BK166" i="5"/>
  <c r="CA166" i="5"/>
  <c r="BL166" i="5"/>
  <c r="BI166" i="5"/>
  <c r="BF166" i="5"/>
  <c r="BU166" i="5"/>
  <c r="BG166" i="5"/>
  <c r="AY166" i="5"/>
  <c r="BV166" i="5"/>
  <c r="BR166" i="5"/>
  <c r="BJ166" i="5"/>
  <c r="BD166" i="5"/>
  <c r="BH166" i="5"/>
  <c r="AZ166" i="5"/>
  <c r="BA166" i="5"/>
  <c r="BP166" i="5" s="1"/>
  <c r="BE166" i="5"/>
  <c r="AV166" i="5"/>
  <c r="BO166" i="5" s="1"/>
  <c r="AU166" i="5"/>
  <c r="BB166" i="5" s="1"/>
  <c r="CG17" i="5"/>
  <c r="CK17" i="5"/>
  <c r="CH17" i="5"/>
  <c r="CJ17" i="5"/>
  <c r="CE17" i="5"/>
  <c r="CD17" i="5"/>
  <c r="CF17" i="5"/>
  <c r="CC17" i="5"/>
  <c r="BZ17" i="5"/>
  <c r="CI17" i="5"/>
  <c r="BW17" i="5"/>
  <c r="BY17" i="5"/>
  <c r="BS17" i="5"/>
  <c r="BK17" i="5"/>
  <c r="BX17" i="5"/>
  <c r="BV17" i="5"/>
  <c r="BM17" i="5"/>
  <c r="BQ17" i="5"/>
  <c r="CA17" i="5"/>
  <c r="BL17" i="5"/>
  <c r="BI17" i="5"/>
  <c r="BE17" i="5"/>
  <c r="BJ17" i="5"/>
  <c r="BG17" i="5"/>
  <c r="BU17" i="5"/>
  <c r="BT17" i="5"/>
  <c r="BR17" i="5"/>
  <c r="BD17" i="5"/>
  <c r="BH17" i="5"/>
  <c r="AZ17" i="5"/>
  <c r="AY17" i="5"/>
  <c r="BA17" i="5"/>
  <c r="BF17" i="5"/>
  <c r="AV17" i="5"/>
  <c r="AU17" i="5"/>
  <c r="CK49" i="5"/>
  <c r="CI49" i="5"/>
  <c r="CF49" i="5"/>
  <c r="CD49" i="5"/>
  <c r="CC49" i="5"/>
  <c r="CE49" i="5"/>
  <c r="CA49" i="5"/>
  <c r="BY49" i="5"/>
  <c r="BS49" i="5"/>
  <c r="BK49" i="5"/>
  <c r="BM49" i="5"/>
  <c r="BW49" i="5"/>
  <c r="BV49" i="5"/>
  <c r="BU49" i="5"/>
  <c r="BR49" i="5"/>
  <c r="BI49" i="5"/>
  <c r="BE49" i="5"/>
  <c r="BQ49" i="5"/>
  <c r="BG49" i="5"/>
  <c r="BT49" i="5"/>
  <c r="BJ49" i="5"/>
  <c r="BF49" i="5"/>
  <c r="BH49" i="5"/>
  <c r="BD49" i="5"/>
  <c r="AZ49" i="5"/>
  <c r="BA49" i="5"/>
  <c r="BP49" i="5" s="1"/>
  <c r="AY49" i="5"/>
  <c r="AU49" i="5"/>
  <c r="BN49" i="5" s="1"/>
  <c r="AV49" i="5"/>
  <c r="BO49" i="5" s="1"/>
  <c r="CK81" i="5"/>
  <c r="CF81" i="5"/>
  <c r="CE81" i="5"/>
  <c r="CD81" i="5"/>
  <c r="BY81" i="5"/>
  <c r="CC81" i="5"/>
  <c r="CI81" i="5"/>
  <c r="CG81" i="5"/>
  <c r="CA81" i="5"/>
  <c r="BS81" i="5"/>
  <c r="BK81" i="5"/>
  <c r="BW81" i="5"/>
  <c r="BM81" i="5"/>
  <c r="BQ81" i="5"/>
  <c r="BI81" i="5"/>
  <c r="BE81" i="5"/>
  <c r="BV81" i="5"/>
  <c r="BU81" i="5"/>
  <c r="BT81" i="5"/>
  <c r="BR81" i="5"/>
  <c r="BG81" i="5"/>
  <c r="BJ81" i="5"/>
  <c r="BD81" i="5"/>
  <c r="BH81" i="5"/>
  <c r="BF81" i="5"/>
  <c r="AZ81" i="5"/>
  <c r="BA81" i="5"/>
  <c r="BP81" i="5" s="1"/>
  <c r="AY81" i="5"/>
  <c r="AV81" i="5"/>
  <c r="BO81" i="5" s="1"/>
  <c r="AU81" i="5"/>
  <c r="BN81" i="5" s="1"/>
  <c r="CK113" i="5"/>
  <c r="CF113" i="5"/>
  <c r="CD113" i="5"/>
  <c r="CI113" i="5"/>
  <c r="CE113" i="5"/>
  <c r="CC113" i="5"/>
  <c r="BS113" i="5"/>
  <c r="BK113" i="5"/>
  <c r="BY113" i="5"/>
  <c r="CA113" i="5"/>
  <c r="BM113" i="5"/>
  <c r="BV113" i="5"/>
  <c r="BW113" i="5"/>
  <c r="BI113" i="5"/>
  <c r="BE113" i="5"/>
  <c r="BU113" i="5"/>
  <c r="BT113" i="5"/>
  <c r="BG113" i="5"/>
  <c r="BR113" i="5"/>
  <c r="BQ113" i="5"/>
  <c r="BF113" i="5"/>
  <c r="BH113" i="5"/>
  <c r="BJ113" i="5"/>
  <c r="AZ113" i="5"/>
  <c r="BD113" i="5"/>
  <c r="BA113" i="5"/>
  <c r="BP113" i="5" s="1"/>
  <c r="AY113" i="5"/>
  <c r="AU113" i="5"/>
  <c r="BB113" i="5" s="1"/>
  <c r="AV113" i="5"/>
  <c r="BO113" i="5" s="1"/>
  <c r="CK66" i="5"/>
  <c r="CI66" i="5"/>
  <c r="CE66" i="5"/>
  <c r="CD66" i="5"/>
  <c r="CA66" i="5"/>
  <c r="CC66" i="5"/>
  <c r="CF66" i="5"/>
  <c r="BY66" i="5"/>
  <c r="BT66" i="5"/>
  <c r="BU66" i="5"/>
  <c r="BW66" i="5"/>
  <c r="BI66" i="5"/>
  <c r="BV66" i="5"/>
  <c r="BQ66" i="5"/>
  <c r="BM66" i="5"/>
  <c r="BF66" i="5"/>
  <c r="BS66" i="5"/>
  <c r="BK66" i="5"/>
  <c r="BE66" i="5"/>
  <c r="BR66" i="5"/>
  <c r="BJ66" i="5"/>
  <c r="AY66" i="5"/>
  <c r="BD66" i="5"/>
  <c r="BH66" i="5"/>
  <c r="BG66" i="5"/>
  <c r="BA66" i="5"/>
  <c r="BP66" i="5" s="1"/>
  <c r="AZ66" i="5"/>
  <c r="AU66" i="5"/>
  <c r="BB66" i="5" s="1"/>
  <c r="AV66" i="5"/>
  <c r="BC66" i="5" s="1"/>
  <c r="CK201" i="5"/>
  <c r="CG201" i="5"/>
  <c r="CF201" i="5"/>
  <c r="CI201" i="5"/>
  <c r="CC201" i="5"/>
  <c r="CE201" i="5"/>
  <c r="CD201" i="5"/>
  <c r="BK201" i="5"/>
  <c r="BM201" i="5"/>
  <c r="BQ201" i="5"/>
  <c r="CA201" i="5"/>
  <c r="BR201" i="5"/>
  <c r="BY201" i="5"/>
  <c r="BW201" i="5"/>
  <c r="BJ201" i="5"/>
  <c r="BE201" i="5"/>
  <c r="BH201" i="5"/>
  <c r="BV201" i="5"/>
  <c r="BU201" i="5"/>
  <c r="BT201" i="5"/>
  <c r="BS201" i="5"/>
  <c r="BF201" i="5"/>
  <c r="BD201" i="5"/>
  <c r="BI201" i="5"/>
  <c r="BA201" i="5"/>
  <c r="AZ201" i="5"/>
  <c r="BG201" i="5"/>
  <c r="AY201" i="5"/>
  <c r="AV201" i="5"/>
  <c r="AU201" i="5"/>
  <c r="CI106" i="5"/>
  <c r="CK106" i="5"/>
  <c r="CC106" i="5"/>
  <c r="CA106" i="5"/>
  <c r="BY106" i="5"/>
  <c r="CF106" i="5"/>
  <c r="CE106" i="5"/>
  <c r="CD106" i="5"/>
  <c r="BW106" i="5"/>
  <c r="BT106" i="5"/>
  <c r="BU106" i="5"/>
  <c r="BS106" i="5"/>
  <c r="BI106" i="5"/>
  <c r="BF106" i="5"/>
  <c r="BR106" i="5"/>
  <c r="BM106" i="5"/>
  <c r="BD106" i="5"/>
  <c r="BQ106" i="5"/>
  <c r="BV106" i="5"/>
  <c r="AY106" i="5"/>
  <c r="BG106" i="5"/>
  <c r="BJ106" i="5"/>
  <c r="BH106" i="5"/>
  <c r="BK106" i="5"/>
  <c r="BE106" i="5"/>
  <c r="BA106" i="5"/>
  <c r="BP106" i="5" s="1"/>
  <c r="AZ106" i="5"/>
  <c r="AV106" i="5"/>
  <c r="BO106" i="5" s="1"/>
  <c r="AU106" i="5"/>
  <c r="BB106" i="5" s="1"/>
  <c r="CK37" i="5"/>
  <c r="CF37" i="5"/>
  <c r="CI37" i="5"/>
  <c r="CD37" i="5"/>
  <c r="CA37" i="5"/>
  <c r="BW37" i="5"/>
  <c r="CC37" i="5"/>
  <c r="BS37" i="5"/>
  <c r="BT37" i="5"/>
  <c r="CE37" i="5"/>
  <c r="BY37" i="5"/>
  <c r="BQ37" i="5"/>
  <c r="BV37" i="5"/>
  <c r="BR37" i="5"/>
  <c r="BE37" i="5"/>
  <c r="BU37" i="5"/>
  <c r="BK37" i="5"/>
  <c r="BD37" i="5"/>
  <c r="BF37" i="5"/>
  <c r="BI37" i="5"/>
  <c r="BH37" i="5"/>
  <c r="BM37" i="5"/>
  <c r="BJ37" i="5"/>
  <c r="BG37" i="5"/>
  <c r="BA37" i="5"/>
  <c r="BP37" i="5" s="1"/>
  <c r="AZ37" i="5"/>
  <c r="AY37" i="5"/>
  <c r="AU37" i="5"/>
  <c r="BN37" i="5" s="1"/>
  <c r="AV37" i="5"/>
  <c r="BC37" i="5" s="1"/>
  <c r="CI175" i="5"/>
  <c r="CK175" i="5"/>
  <c r="CF175" i="5"/>
  <c r="CE175" i="5"/>
  <c r="CA175" i="5"/>
  <c r="BU175" i="5"/>
  <c r="CD175" i="5"/>
  <c r="CC175" i="5"/>
  <c r="BW175" i="5"/>
  <c r="BI175" i="5"/>
  <c r="BY175" i="5"/>
  <c r="BJ175" i="5"/>
  <c r="BV175" i="5"/>
  <c r="BG175" i="5"/>
  <c r="BT175" i="5"/>
  <c r="BS175" i="5"/>
  <c r="BR175" i="5"/>
  <c r="BQ175" i="5"/>
  <c r="BM175" i="5"/>
  <c r="BF175" i="5"/>
  <c r="BD175" i="5"/>
  <c r="AZ175" i="5"/>
  <c r="BK175" i="5"/>
  <c r="BH175" i="5"/>
  <c r="AY175" i="5"/>
  <c r="BE175" i="5"/>
  <c r="BA175" i="5"/>
  <c r="BP175" i="5" s="1"/>
  <c r="AU175" i="5"/>
  <c r="BB175" i="5" s="1"/>
  <c r="AV175" i="5"/>
  <c r="BO175" i="5" s="1"/>
  <c r="CK102" i="5"/>
  <c r="CF102" i="5"/>
  <c r="CE102" i="5"/>
  <c r="CD102" i="5"/>
  <c r="CC102" i="5"/>
  <c r="BQ102" i="5"/>
  <c r="BY102" i="5"/>
  <c r="CA102" i="5"/>
  <c r="BS102" i="5"/>
  <c r="BM102" i="5"/>
  <c r="CI102" i="5"/>
  <c r="BV102" i="5"/>
  <c r="BW102" i="5"/>
  <c r="BK102" i="5"/>
  <c r="BI102" i="5"/>
  <c r="BF102" i="5"/>
  <c r="BR102" i="5"/>
  <c r="BJ102" i="5"/>
  <c r="BG102" i="5"/>
  <c r="AY102" i="5"/>
  <c r="BU102" i="5"/>
  <c r="BT102" i="5"/>
  <c r="BD102" i="5"/>
  <c r="BH102" i="5"/>
  <c r="AZ102" i="5"/>
  <c r="BE102" i="5"/>
  <c r="BA102" i="5"/>
  <c r="BP102" i="5" s="1"/>
  <c r="AV102" i="5"/>
  <c r="BC102" i="5" s="1"/>
  <c r="AU102" i="5"/>
  <c r="BB102" i="5" s="1"/>
  <c r="CJ30" i="5"/>
  <c r="CG30" i="5"/>
  <c r="CF30" i="5"/>
  <c r="CK30" i="5"/>
  <c r="CA30" i="5"/>
  <c r="BX30" i="5"/>
  <c r="CE30" i="5"/>
  <c r="CH30" i="5"/>
  <c r="CI30" i="5"/>
  <c r="CD30" i="5"/>
  <c r="BZ30" i="5"/>
  <c r="CC30" i="5"/>
  <c r="BQ30" i="5"/>
  <c r="BY30" i="5"/>
  <c r="BT30" i="5"/>
  <c r="BL30" i="5"/>
  <c r="BW30" i="5"/>
  <c r="BR30" i="5"/>
  <c r="BM30" i="5"/>
  <c r="BJ30" i="5"/>
  <c r="BF30" i="5"/>
  <c r="BU30" i="5"/>
  <c r="BS30" i="5"/>
  <c r="BH30" i="5"/>
  <c r="AY30" i="5"/>
  <c r="BV30" i="5"/>
  <c r="BK30" i="5"/>
  <c r="BD30" i="5"/>
  <c r="BI30" i="5"/>
  <c r="BE30" i="5"/>
  <c r="BA30" i="5"/>
  <c r="AZ30" i="5"/>
  <c r="BG30" i="5"/>
  <c r="AV30" i="5"/>
  <c r="AU30" i="5"/>
  <c r="CJ169" i="5"/>
  <c r="CK169" i="5"/>
  <c r="CH169" i="5"/>
  <c r="CF169" i="5"/>
  <c r="CG169" i="5"/>
  <c r="CI169" i="5"/>
  <c r="CE169" i="5"/>
  <c r="CD169" i="5"/>
  <c r="CC169" i="5"/>
  <c r="CA169" i="5"/>
  <c r="BV169" i="5"/>
  <c r="BK169" i="5"/>
  <c r="BM169" i="5"/>
  <c r="BY169" i="5"/>
  <c r="BX169" i="5"/>
  <c r="BT169" i="5"/>
  <c r="BW169" i="5"/>
  <c r="BS169" i="5"/>
  <c r="BZ169" i="5"/>
  <c r="BJ169" i="5"/>
  <c r="BE169" i="5"/>
  <c r="BH169" i="5"/>
  <c r="BU169" i="5"/>
  <c r="BR169" i="5"/>
  <c r="BQ169" i="5"/>
  <c r="BF169" i="5"/>
  <c r="BG169" i="5"/>
  <c r="BI169" i="5"/>
  <c r="BL169" i="5"/>
  <c r="BA169" i="5"/>
  <c r="BD169" i="5"/>
  <c r="AZ169" i="5"/>
  <c r="AY169" i="5"/>
  <c r="AV169" i="5"/>
  <c r="AU169" i="5"/>
  <c r="CK77" i="5"/>
  <c r="CF77" i="5"/>
  <c r="CI77" i="5"/>
  <c r="CD77" i="5"/>
  <c r="CC77" i="5"/>
  <c r="CA77" i="5"/>
  <c r="BW77" i="5"/>
  <c r="BS77" i="5"/>
  <c r="CE77" i="5"/>
  <c r="BT77" i="5"/>
  <c r="BV77" i="5"/>
  <c r="BR77" i="5"/>
  <c r="BE77" i="5"/>
  <c r="BU77" i="5"/>
  <c r="BM77" i="5"/>
  <c r="BY77" i="5"/>
  <c r="BQ77" i="5"/>
  <c r="BJ77" i="5"/>
  <c r="BG77" i="5"/>
  <c r="BK77" i="5"/>
  <c r="BF77" i="5"/>
  <c r="BH77" i="5"/>
  <c r="BI77" i="5"/>
  <c r="BD77" i="5"/>
  <c r="BA77" i="5"/>
  <c r="BP77" i="5" s="1"/>
  <c r="AZ77" i="5"/>
  <c r="AY77" i="5"/>
  <c r="AU77" i="5"/>
  <c r="BB77" i="5" s="1"/>
  <c r="AV77" i="5"/>
  <c r="BO77" i="5" s="1"/>
  <c r="CK146" i="5"/>
  <c r="CI146" i="5"/>
  <c r="CE146" i="5"/>
  <c r="CC146" i="5"/>
  <c r="CF146" i="5"/>
  <c r="CA146" i="5"/>
  <c r="CD146" i="5"/>
  <c r="BV146" i="5"/>
  <c r="BT146" i="5"/>
  <c r="BU146" i="5"/>
  <c r="BW146" i="5"/>
  <c r="BR146" i="5"/>
  <c r="BI146" i="5"/>
  <c r="BM146" i="5"/>
  <c r="BF146" i="5"/>
  <c r="BQ146" i="5"/>
  <c r="BY146" i="5"/>
  <c r="BS146" i="5"/>
  <c r="BE146" i="5"/>
  <c r="AY146" i="5"/>
  <c r="BH146" i="5"/>
  <c r="BJ146" i="5"/>
  <c r="BK146" i="5"/>
  <c r="BG146" i="5"/>
  <c r="AZ146" i="5"/>
  <c r="BD146" i="5"/>
  <c r="BA146" i="5"/>
  <c r="BP146" i="5" s="1"/>
  <c r="AV146" i="5"/>
  <c r="BO146" i="5" s="1"/>
  <c r="AU146" i="5"/>
  <c r="BN146" i="5" s="1"/>
  <c r="CI139" i="5"/>
  <c r="CH139" i="5"/>
  <c r="CG139" i="5"/>
  <c r="CJ139" i="5"/>
  <c r="CD139" i="5"/>
  <c r="CK139" i="5"/>
  <c r="BY139" i="5"/>
  <c r="CF139" i="5"/>
  <c r="CC139" i="5"/>
  <c r="BV139" i="5"/>
  <c r="CE139" i="5"/>
  <c r="BQ139" i="5"/>
  <c r="BR139" i="5"/>
  <c r="CA139" i="5"/>
  <c r="BZ139" i="5"/>
  <c r="BU139" i="5"/>
  <c r="BW139" i="5"/>
  <c r="BX139" i="5"/>
  <c r="BK139" i="5"/>
  <c r="BG139" i="5"/>
  <c r="BT139" i="5"/>
  <c r="BM139" i="5"/>
  <c r="BI139" i="5"/>
  <c r="AZ139" i="5"/>
  <c r="BS139" i="5"/>
  <c r="BH139" i="5"/>
  <c r="BL139" i="5"/>
  <c r="BJ139" i="5"/>
  <c r="BF139" i="5"/>
  <c r="BE139" i="5"/>
  <c r="BD139" i="5"/>
  <c r="BA139" i="5"/>
  <c r="BP139" i="5" s="1"/>
  <c r="AY139" i="5"/>
  <c r="AU139" i="5"/>
  <c r="BB139" i="5" s="1"/>
  <c r="AV139" i="5"/>
  <c r="BC139" i="5" s="1"/>
  <c r="CI188" i="5"/>
  <c r="CK188" i="5"/>
  <c r="CE188" i="5"/>
  <c r="CG188" i="5"/>
  <c r="CF188" i="5"/>
  <c r="CD188" i="5"/>
  <c r="CC188" i="5"/>
  <c r="BV188" i="5"/>
  <c r="CA188" i="5"/>
  <c r="BY188" i="5"/>
  <c r="BW188" i="5"/>
  <c r="BJ188" i="5"/>
  <c r="BK188" i="5"/>
  <c r="BQ188" i="5"/>
  <c r="BM188" i="5"/>
  <c r="BS188" i="5"/>
  <c r="BH188" i="5"/>
  <c r="BI188" i="5"/>
  <c r="BD188" i="5"/>
  <c r="BU188" i="5"/>
  <c r="BT188" i="5"/>
  <c r="BG188" i="5"/>
  <c r="BR188" i="5"/>
  <c r="BE188" i="5"/>
  <c r="BA188" i="5"/>
  <c r="BP188" i="5" s="1"/>
  <c r="AZ188" i="5"/>
  <c r="BF188" i="5"/>
  <c r="AY188" i="5"/>
  <c r="AV188" i="5"/>
  <c r="BO188" i="5" s="1"/>
  <c r="AU188" i="5"/>
  <c r="BB188" i="5" s="1"/>
  <c r="D14" i="7"/>
  <c r="N41" i="28" l="1"/>
  <c r="BH247" i="5"/>
  <c r="BH248" i="5" s="1"/>
  <c r="AS279" i="5"/>
  <c r="CA247" i="5"/>
  <c r="CA248" i="5" s="1"/>
  <c r="AS274" i="5"/>
  <c r="AY283" i="5"/>
  <c r="AY284" i="5" s="1"/>
  <c r="AV275" i="5"/>
  <c r="AV276" i="5" s="1"/>
  <c r="AY280" i="5"/>
  <c r="AV283" i="5"/>
  <c r="AV284" i="5" s="1"/>
  <c r="AV280" i="5"/>
  <c r="AY270" i="5"/>
  <c r="AY281" i="5"/>
  <c r="AY271" i="5"/>
  <c r="AY272" i="5"/>
  <c r="AV271" i="5"/>
  <c r="AV268" i="5"/>
  <c r="AV281" i="5"/>
  <c r="AV272" i="5"/>
  <c r="AV266" i="5"/>
  <c r="AV267" i="5" s="1"/>
  <c r="AY275" i="5"/>
  <c r="AY276" i="5" s="1"/>
  <c r="AV273" i="5"/>
  <c r="AY273" i="5"/>
  <c r="AV277" i="5"/>
  <c r="AY268" i="5"/>
  <c r="AY269" i="5" s="1"/>
  <c r="AY266" i="5"/>
  <c r="AY267" i="5" s="1"/>
  <c r="AV278" i="5"/>
  <c r="AY277" i="5"/>
  <c r="AV270" i="5"/>
  <c r="AY278" i="5"/>
  <c r="AS282" i="5"/>
  <c r="BM247" i="5"/>
  <c r="BM248" i="5" s="1"/>
  <c r="I12" i="27" s="1"/>
  <c r="I40" i="27" s="1"/>
  <c r="CE247" i="5"/>
  <c r="CE248" i="5" s="1"/>
  <c r="BY247" i="5"/>
  <c r="BY248" i="5" s="1"/>
  <c r="BJ257" i="5"/>
  <c r="BJ258" i="5" s="1"/>
  <c r="BN8" i="5"/>
  <c r="BZ8" i="5" s="1"/>
  <c r="BO18" i="5"/>
  <c r="BY257" i="5"/>
  <c r="BY258" i="5" s="1"/>
  <c r="BS257" i="5"/>
  <c r="BS258" i="5" s="1"/>
  <c r="CF257" i="5"/>
  <c r="CF258" i="5" s="1"/>
  <c r="AY216" i="5"/>
  <c r="AY217" i="5" s="1"/>
  <c r="G10" i="15" s="1"/>
  <c r="BO8" i="5"/>
  <c r="BW257" i="5"/>
  <c r="BW258" i="5" s="1"/>
  <c r="BU257" i="5"/>
  <c r="BU258" i="5" s="1"/>
  <c r="BQ257" i="5"/>
  <c r="BQ258" i="5" s="1"/>
  <c r="H170" i="10"/>
  <c r="F10" i="32"/>
  <c r="D169" i="10"/>
  <c r="AA11" i="32"/>
  <c r="AB11" i="32"/>
  <c r="AB45" i="32" s="1"/>
  <c r="J11" i="32"/>
  <c r="G39" i="32"/>
  <c r="F12" i="32"/>
  <c r="F40" i="32" s="1"/>
  <c r="D171" i="10"/>
  <c r="BE257" i="5"/>
  <c r="BE258" i="5" s="1"/>
  <c r="CI257" i="5"/>
  <c r="CI258" i="5" s="1"/>
  <c r="CA257" i="5"/>
  <c r="CA258" i="5" s="1"/>
  <c r="CF247" i="5"/>
  <c r="CF248" i="5" s="1"/>
  <c r="BQ247" i="5"/>
  <c r="BQ248" i="5" s="1"/>
  <c r="AZ257" i="5"/>
  <c r="AZ258" i="5" s="1"/>
  <c r="BT257" i="5"/>
  <c r="BT258" i="5" s="1"/>
  <c r="CC257" i="5"/>
  <c r="CC258" i="5" s="1"/>
  <c r="BI257" i="5"/>
  <c r="BI258" i="5" s="1"/>
  <c r="BD257" i="5"/>
  <c r="BD258" i="5" s="1"/>
  <c r="BK257" i="5"/>
  <c r="BK258" i="5" s="1"/>
  <c r="CD257" i="5"/>
  <c r="CD258" i="5" s="1"/>
  <c r="BF257" i="5"/>
  <c r="BF258" i="5" s="1"/>
  <c r="CE257" i="5"/>
  <c r="CE258" i="5" s="1"/>
  <c r="BV257" i="5"/>
  <c r="BV258" i="5" s="1"/>
  <c r="BH257" i="5"/>
  <c r="BH258" i="5" s="1"/>
  <c r="BM257" i="5"/>
  <c r="BM258" i="5" s="1"/>
  <c r="CK257" i="5"/>
  <c r="CK258" i="5" s="1"/>
  <c r="BN201" i="5"/>
  <c r="AU257" i="5"/>
  <c r="AU258" i="5" s="1"/>
  <c r="F10" i="31"/>
  <c r="D158" i="10"/>
  <c r="AY257" i="5"/>
  <c r="AY258" i="5" s="1"/>
  <c r="BR257" i="5"/>
  <c r="BR258" i="5" s="1"/>
  <c r="AY253" i="5"/>
  <c r="AY254" i="5" s="1"/>
  <c r="G10" i="30" s="1"/>
  <c r="F12" i="31"/>
  <c r="F40" i="31" s="1"/>
  <c r="D160" i="10"/>
  <c r="BG257" i="5"/>
  <c r="BG258" i="5" s="1"/>
  <c r="BF247" i="5"/>
  <c r="BF248" i="5" s="1"/>
  <c r="BJ247" i="5"/>
  <c r="BJ248" i="5" s="1"/>
  <c r="H159" i="10"/>
  <c r="BC201" i="5"/>
  <c r="AV257" i="5"/>
  <c r="AV258" i="5" s="1"/>
  <c r="AB11" i="31"/>
  <c r="AB45" i="31" s="1"/>
  <c r="AA11" i="31"/>
  <c r="G39" i="31"/>
  <c r="J11" i="31"/>
  <c r="BP201" i="5"/>
  <c r="BP257" i="5" s="1"/>
  <c r="BP258" i="5" s="1"/>
  <c r="BA257" i="5"/>
  <c r="BA258" i="5" s="1"/>
  <c r="BW247" i="5"/>
  <c r="BW248" i="5" s="1"/>
  <c r="F75" i="31"/>
  <c r="F80" i="31" s="1"/>
  <c r="J13" i="29"/>
  <c r="H15" i="29" s="1"/>
  <c r="H16" i="29" s="1"/>
  <c r="BV247" i="5"/>
  <c r="BV248" i="5" s="1"/>
  <c r="BT253" i="5"/>
  <c r="BT254" i="5" s="1"/>
  <c r="N13" i="29"/>
  <c r="AA11" i="30"/>
  <c r="BS247" i="5"/>
  <c r="BS248" i="5" s="1"/>
  <c r="G39" i="30"/>
  <c r="AA39" i="30" s="1"/>
  <c r="AY247" i="5"/>
  <c r="AY248" i="5" s="1"/>
  <c r="G10" i="27" s="1"/>
  <c r="CG247" i="5"/>
  <c r="CG248" i="5" s="1"/>
  <c r="BR247" i="5"/>
  <c r="BR248" i="5" s="1"/>
  <c r="J11" i="30"/>
  <c r="CD247" i="5"/>
  <c r="CD248" i="5" s="1"/>
  <c r="BJ253" i="5"/>
  <c r="BJ254" i="5" s="1"/>
  <c r="CD253" i="5"/>
  <c r="CD254" i="5" s="1"/>
  <c r="AA44" i="29"/>
  <c r="L41" i="29"/>
  <c r="N41" i="29" s="1"/>
  <c r="G41" i="29"/>
  <c r="AC10" i="29"/>
  <c r="AA45" i="29"/>
  <c r="AC45" i="29" s="1"/>
  <c r="BR253" i="5"/>
  <c r="BR254" i="5" s="1"/>
  <c r="BG255" i="5"/>
  <c r="BG256" i="5" s="1"/>
  <c r="BK255" i="5"/>
  <c r="BK256" i="5" s="1"/>
  <c r="BV255" i="5"/>
  <c r="BV256" i="5" s="1"/>
  <c r="CC255" i="5"/>
  <c r="CC256" i="5" s="1"/>
  <c r="AZ253" i="5"/>
  <c r="AZ254" i="5" s="1"/>
  <c r="BH255" i="5"/>
  <c r="BH256" i="5" s="1"/>
  <c r="BU255" i="5"/>
  <c r="BU256" i="5" s="1"/>
  <c r="CD255" i="5"/>
  <c r="CD256" i="5" s="1"/>
  <c r="BD255" i="5"/>
  <c r="BD256" i="5" s="1"/>
  <c r="BP192" i="5"/>
  <c r="BP253" i="5" s="1"/>
  <c r="BP254" i="5" s="1"/>
  <c r="BA253" i="5"/>
  <c r="BA254" i="5" s="1"/>
  <c r="AY255" i="5"/>
  <c r="AY256" i="5" s="1"/>
  <c r="BF255" i="5"/>
  <c r="BF256" i="5" s="1"/>
  <c r="BT255" i="5"/>
  <c r="BT256" i="5" s="1"/>
  <c r="CE255" i="5"/>
  <c r="CE256" i="5" s="1"/>
  <c r="BC194" i="5"/>
  <c r="AV255" i="5"/>
  <c r="AV256" i="5" s="1"/>
  <c r="BJ255" i="5"/>
  <c r="BJ256" i="5" s="1"/>
  <c r="BM255" i="5"/>
  <c r="BM256" i="5" s="1"/>
  <c r="BY255" i="5"/>
  <c r="BY256" i="5" s="1"/>
  <c r="CI255" i="5"/>
  <c r="CI256" i="5" s="1"/>
  <c r="BB194" i="5"/>
  <c r="AU255" i="5"/>
  <c r="AU256" i="5" s="1"/>
  <c r="BR255" i="5"/>
  <c r="BR256" i="5" s="1"/>
  <c r="BQ255" i="5"/>
  <c r="BQ256" i="5" s="1"/>
  <c r="CK255" i="5"/>
  <c r="CK256" i="5" s="1"/>
  <c r="BN192" i="5"/>
  <c r="AU253" i="5"/>
  <c r="AU254" i="5" s="1"/>
  <c r="BE253" i="5"/>
  <c r="BE254" i="5" s="1"/>
  <c r="BY253" i="5"/>
  <c r="BY254" i="5" s="1"/>
  <c r="F44" i="29"/>
  <c r="F43" i="29"/>
  <c r="F10" i="30"/>
  <c r="D147" i="10"/>
  <c r="AZ255" i="5"/>
  <c r="AZ256" i="5" s="1"/>
  <c r="BS255" i="5"/>
  <c r="BS256" i="5" s="1"/>
  <c r="BI255" i="5"/>
  <c r="BI256" i="5" s="1"/>
  <c r="CA255" i="5"/>
  <c r="CA256" i="5" s="1"/>
  <c r="BC192" i="5"/>
  <c r="AV253" i="5"/>
  <c r="AV254" i="5" s="1"/>
  <c r="BD253" i="5"/>
  <c r="BD254" i="5" s="1"/>
  <c r="F12" i="30"/>
  <c r="F40" i="30" s="1"/>
  <c r="D149" i="10"/>
  <c r="BP194" i="5"/>
  <c r="BP255" i="5" s="1"/>
  <c r="BP256" i="5" s="1"/>
  <c r="BA255" i="5"/>
  <c r="BA256" i="5" s="1"/>
  <c r="BE255" i="5"/>
  <c r="BE256" i="5" s="1"/>
  <c r="BW255" i="5"/>
  <c r="BW256" i="5" s="1"/>
  <c r="CF255" i="5"/>
  <c r="CF256" i="5" s="1"/>
  <c r="BQ253" i="5"/>
  <c r="BQ254" i="5" s="1"/>
  <c r="BU253" i="5"/>
  <c r="BU254" i="5" s="1"/>
  <c r="CF253" i="5"/>
  <c r="CF254" i="5" s="1"/>
  <c r="CC253" i="5"/>
  <c r="CC254" i="5" s="1"/>
  <c r="BS253" i="5"/>
  <c r="BS254" i="5" s="1"/>
  <c r="CK253" i="5"/>
  <c r="CK254" i="5" s="1"/>
  <c r="BI253" i="5"/>
  <c r="BI254" i="5" s="1"/>
  <c r="CI253" i="5"/>
  <c r="CI254" i="5" s="1"/>
  <c r="BM253" i="5"/>
  <c r="BM254" i="5" s="1"/>
  <c r="CA253" i="5"/>
  <c r="CA254" i="5" s="1"/>
  <c r="BF253" i="5"/>
  <c r="BF254" i="5" s="1"/>
  <c r="BV253" i="5"/>
  <c r="BV254" i="5" s="1"/>
  <c r="BW253" i="5"/>
  <c r="BW254" i="5" s="1"/>
  <c r="BG253" i="5"/>
  <c r="BG254" i="5" s="1"/>
  <c r="BH253" i="5"/>
  <c r="BH254" i="5" s="1"/>
  <c r="CE253" i="5"/>
  <c r="CE254" i="5" s="1"/>
  <c r="BK253" i="5"/>
  <c r="BK254" i="5" s="1"/>
  <c r="H139" i="10"/>
  <c r="E141" i="10" s="1"/>
  <c r="AB38" i="29"/>
  <c r="I41" i="29"/>
  <c r="J38" i="29"/>
  <c r="J41" i="29" s="1"/>
  <c r="H51" i="29" s="1"/>
  <c r="H52" i="29" s="1"/>
  <c r="H56" i="29" s="1"/>
  <c r="H60" i="29" s="1"/>
  <c r="BK247" i="5"/>
  <c r="BK248" i="5" s="1"/>
  <c r="CK247" i="5"/>
  <c r="CK248" i="5" s="1"/>
  <c r="M12" i="27" s="1"/>
  <c r="M40" i="27" s="1"/>
  <c r="CI247" i="5"/>
  <c r="CI248" i="5" s="1"/>
  <c r="BE247" i="5"/>
  <c r="BE248" i="5" s="1"/>
  <c r="CC247" i="5"/>
  <c r="CC248" i="5" s="1"/>
  <c r="BD247" i="5"/>
  <c r="BD248" i="5" s="1"/>
  <c r="BI247" i="5"/>
  <c r="BI248" i="5" s="1"/>
  <c r="F44" i="28"/>
  <c r="F45" i="28"/>
  <c r="AZ247" i="5"/>
  <c r="AZ248" i="5" s="1"/>
  <c r="G12" i="27" s="1"/>
  <c r="BT247" i="5"/>
  <c r="BT248" i="5" s="1"/>
  <c r="BU247" i="5"/>
  <c r="BU248" i="5" s="1"/>
  <c r="G41" i="28"/>
  <c r="AB11" i="27"/>
  <c r="AB45" i="27" s="1"/>
  <c r="G39" i="27"/>
  <c r="J39" i="27" s="1"/>
  <c r="J11" i="27"/>
  <c r="AC10" i="28"/>
  <c r="N13" i="28"/>
  <c r="J13" i="28"/>
  <c r="AA39" i="28"/>
  <c r="J39" i="28"/>
  <c r="I41" i="28"/>
  <c r="AB38" i="28"/>
  <c r="AB44" i="28" s="1"/>
  <c r="H128" i="10"/>
  <c r="F130" i="10" s="1"/>
  <c r="F131" i="10" s="1"/>
  <c r="BG247" i="5"/>
  <c r="BG248" i="5" s="1"/>
  <c r="AA38" i="28"/>
  <c r="J38" i="28"/>
  <c r="J40" i="28"/>
  <c r="H104" i="10"/>
  <c r="BO177" i="5"/>
  <c r="AV245" i="5"/>
  <c r="AV246" i="5" s="1"/>
  <c r="BN177" i="5"/>
  <c r="AU245" i="5"/>
  <c r="AU246" i="5" s="1"/>
  <c r="BB190" i="5"/>
  <c r="BB247" i="5" s="1"/>
  <c r="BB248" i="5" s="1"/>
  <c r="AU247" i="5"/>
  <c r="AU248" i="5" s="1"/>
  <c r="AY245" i="5"/>
  <c r="AY246" i="5" s="1"/>
  <c r="F10" i="27"/>
  <c r="D114" i="10"/>
  <c r="BO190" i="5"/>
  <c r="AV247" i="5"/>
  <c r="AV248" i="5" s="1"/>
  <c r="L12" i="27"/>
  <c r="J116" i="10"/>
  <c r="BP177" i="5"/>
  <c r="BP245" i="5" s="1"/>
  <c r="BP246" i="5" s="1"/>
  <c r="BA245" i="5"/>
  <c r="BA246" i="5" s="1"/>
  <c r="F12" i="27"/>
  <c r="F40" i="27" s="1"/>
  <c r="D116" i="10"/>
  <c r="AB11" i="26"/>
  <c r="AB45" i="26" s="1"/>
  <c r="J11" i="26"/>
  <c r="G39" i="26"/>
  <c r="AA11" i="26"/>
  <c r="F12" i="26"/>
  <c r="F40" i="26" s="1"/>
  <c r="D105" i="10"/>
  <c r="AZ245" i="5"/>
  <c r="AZ246" i="5" s="1"/>
  <c r="D103" i="10"/>
  <c r="F10" i="26"/>
  <c r="BP190" i="5"/>
  <c r="BP247" i="5" s="1"/>
  <c r="BP248" i="5" s="1"/>
  <c r="BA247" i="5"/>
  <c r="BA248" i="5" s="1"/>
  <c r="BH245" i="5"/>
  <c r="BH246" i="5" s="1"/>
  <c r="BR245" i="5"/>
  <c r="BR246" i="5" s="1"/>
  <c r="CI245" i="5"/>
  <c r="CI246" i="5" s="1"/>
  <c r="BF245" i="5"/>
  <c r="BF246" i="5" s="1"/>
  <c r="BE245" i="5"/>
  <c r="BE246" i="5" s="1"/>
  <c r="CA245" i="5"/>
  <c r="CA246" i="5" s="1"/>
  <c r="CF245" i="5"/>
  <c r="CF246" i="5" s="1"/>
  <c r="BJ245" i="5"/>
  <c r="BJ246" i="5" s="1"/>
  <c r="BI245" i="5"/>
  <c r="BI246" i="5" s="1"/>
  <c r="BY242" i="5"/>
  <c r="BY243" i="5" s="1"/>
  <c r="BE242" i="5"/>
  <c r="BE243" i="5" s="1"/>
  <c r="BT245" i="5"/>
  <c r="BT246" i="5" s="1"/>
  <c r="BY245" i="5"/>
  <c r="BY246" i="5" s="1"/>
  <c r="CC245" i="5"/>
  <c r="CC246" i="5" s="1"/>
  <c r="CK245" i="5"/>
  <c r="CK246" i="5" s="1"/>
  <c r="BU245" i="5"/>
  <c r="BU246" i="5" s="1"/>
  <c r="BQ245" i="5"/>
  <c r="BQ246" i="5" s="1"/>
  <c r="BS245" i="5"/>
  <c r="BS246" i="5" s="1"/>
  <c r="BZ4" i="5"/>
  <c r="BV245" i="5"/>
  <c r="BV246" i="5" s="1"/>
  <c r="BW245" i="5"/>
  <c r="BW246" i="5" s="1"/>
  <c r="CE245" i="5"/>
  <c r="CE246" i="5" s="1"/>
  <c r="BD245" i="5"/>
  <c r="BD246" i="5" s="1"/>
  <c r="BG245" i="5"/>
  <c r="BG246" i="5" s="1"/>
  <c r="BM245" i="5"/>
  <c r="BM246" i="5" s="1"/>
  <c r="BK245" i="5"/>
  <c r="BK246" i="5" s="1"/>
  <c r="CD245" i="5"/>
  <c r="CD246" i="5" s="1"/>
  <c r="F75" i="26"/>
  <c r="F80" i="26" s="1"/>
  <c r="BH242" i="5"/>
  <c r="BH243" i="5" s="1"/>
  <c r="H93" i="10"/>
  <c r="AB11" i="25"/>
  <c r="G39" i="25"/>
  <c r="AA11" i="25"/>
  <c r="J11" i="25"/>
  <c r="F10" i="25"/>
  <c r="D92" i="10"/>
  <c r="F12" i="25"/>
  <c r="F40" i="25" s="1"/>
  <c r="D94" i="10"/>
  <c r="AB45" i="25"/>
  <c r="BR242" i="5"/>
  <c r="BR243" i="5" s="1"/>
  <c r="F75" i="25"/>
  <c r="F80" i="25" s="1"/>
  <c r="CE242" i="5"/>
  <c r="CE243" i="5" s="1"/>
  <c r="CI242" i="5"/>
  <c r="CI243" i="5" s="1"/>
  <c r="AZ242" i="5"/>
  <c r="AZ243" i="5" s="1"/>
  <c r="BU242" i="5"/>
  <c r="BU243" i="5" s="1"/>
  <c r="BT242" i="5"/>
  <c r="BT243" i="5" s="1"/>
  <c r="CD242" i="5"/>
  <c r="CD243" i="5" s="1"/>
  <c r="BG242" i="5"/>
  <c r="BG243" i="5" s="1"/>
  <c r="AY242" i="5"/>
  <c r="AY243" i="5" s="1"/>
  <c r="BW242" i="5"/>
  <c r="BW243" i="5" s="1"/>
  <c r="BF242" i="5"/>
  <c r="BF243" i="5" s="1"/>
  <c r="CK242" i="5"/>
  <c r="CK243" i="5" s="1"/>
  <c r="BS242" i="5"/>
  <c r="BS243" i="5" s="1"/>
  <c r="BQ242" i="5"/>
  <c r="BQ243" i="5" s="1"/>
  <c r="CC242" i="5"/>
  <c r="CC243" i="5" s="1"/>
  <c r="BD242" i="5"/>
  <c r="BD243" i="5" s="1"/>
  <c r="BM242" i="5"/>
  <c r="BM243" i="5" s="1"/>
  <c r="BP169" i="5"/>
  <c r="BP242" i="5" s="1"/>
  <c r="BP243" i="5" s="1"/>
  <c r="BA242" i="5"/>
  <c r="BA243" i="5" s="1"/>
  <c r="BI242" i="5"/>
  <c r="BI243" i="5" s="1"/>
  <c r="BJ242" i="5"/>
  <c r="BJ243" i="5" s="1"/>
  <c r="BK242" i="5"/>
  <c r="BK243" i="5" s="1"/>
  <c r="CF242" i="5"/>
  <c r="CF243" i="5" s="1"/>
  <c r="BN169" i="5"/>
  <c r="AU242" i="5"/>
  <c r="AU243" i="5" s="1"/>
  <c r="BV242" i="5"/>
  <c r="BV243" i="5" s="1"/>
  <c r="BO169" i="5"/>
  <c r="AV242" i="5"/>
  <c r="AV243" i="5" s="1"/>
  <c r="CA242" i="5"/>
  <c r="CA243" i="5" s="1"/>
  <c r="BX18" i="5"/>
  <c r="CC216" i="5"/>
  <c r="CC217" i="5" s="1"/>
  <c r="BL6" i="5"/>
  <c r="BI216" i="5"/>
  <c r="BI217" i="5" s="1"/>
  <c r="BX6" i="5"/>
  <c r="E71" i="10"/>
  <c r="H71" i="10" s="1"/>
  <c r="I11" i="18"/>
  <c r="I39" i="18" s="1"/>
  <c r="AB39" i="18" s="1"/>
  <c r="H82" i="10"/>
  <c r="AA39" i="19"/>
  <c r="J39" i="19"/>
  <c r="F10" i="19"/>
  <c r="D81" i="10"/>
  <c r="BB164" i="5"/>
  <c r="AU229" i="5"/>
  <c r="AU230" i="5" s="1"/>
  <c r="BP164" i="5"/>
  <c r="BP229" i="5" s="1"/>
  <c r="BP230" i="5" s="1"/>
  <c r="BA229" i="5"/>
  <c r="BA230" i="5" s="1"/>
  <c r="F12" i="19"/>
  <c r="F40" i="19" s="1"/>
  <c r="D83" i="10"/>
  <c r="BO164" i="5"/>
  <c r="AV229" i="5"/>
  <c r="AV230" i="5" s="1"/>
  <c r="AS228" i="5"/>
  <c r="AB11" i="18"/>
  <c r="G39" i="18"/>
  <c r="AA11" i="18"/>
  <c r="AZ229" i="5"/>
  <c r="AZ230" i="5" s="1"/>
  <c r="AT228" i="5"/>
  <c r="AY229" i="5"/>
  <c r="AY230" i="5" s="1"/>
  <c r="BG229" i="5"/>
  <c r="BG230" i="5" s="1"/>
  <c r="BV229" i="5"/>
  <c r="BV230" i="5" s="1"/>
  <c r="BY229" i="5"/>
  <c r="BY230" i="5" s="1"/>
  <c r="BE229" i="5"/>
  <c r="BE230" i="5" s="1"/>
  <c r="BW229" i="5"/>
  <c r="BW230" i="5" s="1"/>
  <c r="CD229" i="5"/>
  <c r="CD230" i="5" s="1"/>
  <c r="BH229" i="5"/>
  <c r="BH230" i="5" s="1"/>
  <c r="CA229" i="5"/>
  <c r="CA230" i="5" s="1"/>
  <c r="BQ229" i="5"/>
  <c r="BQ230" i="5" s="1"/>
  <c r="BK229" i="5"/>
  <c r="BK230" i="5" s="1"/>
  <c r="CF229" i="5"/>
  <c r="CF230" i="5" s="1"/>
  <c r="BS229" i="5"/>
  <c r="BS230" i="5" s="1"/>
  <c r="BU229" i="5"/>
  <c r="BU230" i="5" s="1"/>
  <c r="CE229" i="5"/>
  <c r="CE230" i="5" s="1"/>
  <c r="F75" i="19"/>
  <c r="F80" i="19" s="1"/>
  <c r="BF229" i="5"/>
  <c r="BF230" i="5" s="1"/>
  <c r="BJ229" i="5"/>
  <c r="BJ230" i="5" s="1"/>
  <c r="CK229" i="5"/>
  <c r="CK230" i="5" s="1"/>
  <c r="BM229" i="5"/>
  <c r="BM230" i="5" s="1"/>
  <c r="BT229" i="5"/>
  <c r="BT230" i="5" s="1"/>
  <c r="BR229" i="5"/>
  <c r="BR230" i="5" s="1"/>
  <c r="CI229" i="5"/>
  <c r="CI230" i="5" s="1"/>
  <c r="BH216" i="5"/>
  <c r="BH217" i="5" s="1"/>
  <c r="BI229" i="5"/>
  <c r="BI230" i="5" s="1"/>
  <c r="BD229" i="5"/>
  <c r="BD230" i="5" s="1"/>
  <c r="CC229" i="5"/>
  <c r="CC230" i="5" s="1"/>
  <c r="AY227" i="5"/>
  <c r="BT227" i="5"/>
  <c r="CI227" i="5"/>
  <c r="AZ227" i="5"/>
  <c r="BP144" i="5"/>
  <c r="BP227" i="5" s="1"/>
  <c r="BA227" i="5"/>
  <c r="CA227" i="5"/>
  <c r="BY227" i="5"/>
  <c r="BG227" i="5"/>
  <c r="BH227" i="5"/>
  <c r="BS227" i="5"/>
  <c r="BE227" i="5"/>
  <c r="BD227" i="5"/>
  <c r="CD227" i="5"/>
  <c r="BJ227" i="5"/>
  <c r="BK227" i="5"/>
  <c r="CC227" i="5"/>
  <c r="BI227" i="5"/>
  <c r="BU227" i="5"/>
  <c r="BR227" i="5"/>
  <c r="CF227" i="5"/>
  <c r="BN144" i="5"/>
  <c r="AU227" i="5"/>
  <c r="BM227" i="5"/>
  <c r="BW227" i="5"/>
  <c r="CE227" i="5"/>
  <c r="BO144" i="5"/>
  <c r="AV227" i="5"/>
  <c r="BF227" i="5"/>
  <c r="BQ227" i="5"/>
  <c r="BV227" i="5"/>
  <c r="CK227" i="5"/>
  <c r="BC127" i="5"/>
  <c r="AV226" i="5"/>
  <c r="BD226" i="5"/>
  <c r="BJ226" i="5"/>
  <c r="BY226" i="5"/>
  <c r="CI226" i="5"/>
  <c r="AY226" i="5"/>
  <c r="BS226" i="5"/>
  <c r="BP127" i="5"/>
  <c r="BP226" i="5" s="1"/>
  <c r="BA226" i="5"/>
  <c r="BQ226" i="5"/>
  <c r="CC226" i="5"/>
  <c r="BK226" i="5"/>
  <c r="BV226" i="5"/>
  <c r="BI226" i="5"/>
  <c r="CF226" i="5"/>
  <c r="BE226" i="5"/>
  <c r="BR226" i="5"/>
  <c r="CA226" i="5"/>
  <c r="CE226" i="5"/>
  <c r="BH226" i="5"/>
  <c r="BG226" i="5"/>
  <c r="BU226" i="5"/>
  <c r="CK226" i="5"/>
  <c r="CK228" i="5" s="1"/>
  <c r="AZ226" i="5"/>
  <c r="BM226" i="5"/>
  <c r="BW226" i="5"/>
  <c r="BN127" i="5"/>
  <c r="AU226" i="5"/>
  <c r="BF226" i="5"/>
  <c r="BT226" i="5"/>
  <c r="CD226" i="5"/>
  <c r="H60" i="10"/>
  <c r="BN18" i="5"/>
  <c r="BZ18" i="5" s="1"/>
  <c r="BG223" i="5"/>
  <c r="BG224" i="5" s="1"/>
  <c r="BM223" i="5"/>
  <c r="BM224" i="5" s="1"/>
  <c r="F10" i="17"/>
  <c r="D59" i="10"/>
  <c r="AZ223" i="5"/>
  <c r="AZ224" i="5" s="1"/>
  <c r="BV223" i="5"/>
  <c r="BV224" i="5" s="1"/>
  <c r="BT223" i="5"/>
  <c r="BT224" i="5" s="1"/>
  <c r="CC223" i="5"/>
  <c r="CC224" i="5" s="1"/>
  <c r="F12" i="17"/>
  <c r="F40" i="17" s="1"/>
  <c r="D61" i="10"/>
  <c r="BF223" i="5"/>
  <c r="BF224" i="5" s="1"/>
  <c r="BK223" i="5"/>
  <c r="BK224" i="5" s="1"/>
  <c r="BS223" i="5"/>
  <c r="BS224" i="5" s="1"/>
  <c r="CD223" i="5"/>
  <c r="CD224" i="5" s="1"/>
  <c r="BP109" i="5"/>
  <c r="BP223" i="5" s="1"/>
  <c r="BP224" i="5" s="1"/>
  <c r="BA223" i="5"/>
  <c r="BA224" i="5" s="1"/>
  <c r="BR223" i="5"/>
  <c r="BR224" i="5" s="1"/>
  <c r="BY223" i="5"/>
  <c r="BY224" i="5" s="1"/>
  <c r="BL178" i="5"/>
  <c r="BH223" i="5"/>
  <c r="BH224" i="5" s="1"/>
  <c r="BU223" i="5"/>
  <c r="BU224" i="5" s="1"/>
  <c r="CI223" i="5"/>
  <c r="CI224" i="5" s="1"/>
  <c r="BL4" i="5"/>
  <c r="BB109" i="5"/>
  <c r="AU223" i="5"/>
  <c r="AU224" i="5" s="1"/>
  <c r="BD223" i="5"/>
  <c r="BD224" i="5" s="1"/>
  <c r="BE223" i="5"/>
  <c r="BE224" i="5" s="1"/>
  <c r="BW223" i="5"/>
  <c r="BW224" i="5" s="1"/>
  <c r="CF223" i="5"/>
  <c r="CF224" i="5" s="1"/>
  <c r="BV216" i="5"/>
  <c r="BV217" i="5" s="1"/>
  <c r="BR216" i="5"/>
  <c r="BR217" i="5" s="1"/>
  <c r="BC109" i="5"/>
  <c r="AV223" i="5"/>
  <c r="AV224" i="5" s="1"/>
  <c r="BI223" i="5"/>
  <c r="BI224" i="5" s="1"/>
  <c r="BQ223" i="5"/>
  <c r="BQ224" i="5" s="1"/>
  <c r="CE223" i="5"/>
  <c r="CE224" i="5" s="1"/>
  <c r="AY223" i="5"/>
  <c r="AY224" i="5" s="1"/>
  <c r="BJ223" i="5"/>
  <c r="BJ224" i="5" s="1"/>
  <c r="CA223" i="5"/>
  <c r="CA224" i="5" s="1"/>
  <c r="CK223" i="5"/>
  <c r="CK224" i="5" s="1"/>
  <c r="AB11" i="17"/>
  <c r="AB45" i="17" s="1"/>
  <c r="AA11" i="17"/>
  <c r="J11" i="17"/>
  <c r="G39" i="17"/>
  <c r="BQ216" i="5"/>
  <c r="BQ217" i="5" s="1"/>
  <c r="BW216" i="5"/>
  <c r="BW217" i="5" s="1"/>
  <c r="CI216" i="5"/>
  <c r="CI217" i="5" s="1"/>
  <c r="BT216" i="5"/>
  <c r="BT217" i="5" s="1"/>
  <c r="CE216" i="5"/>
  <c r="CE217" i="5" s="1"/>
  <c r="F75" i="17"/>
  <c r="F80" i="17" s="1"/>
  <c r="BS216" i="5"/>
  <c r="BS217" i="5" s="1"/>
  <c r="BE216" i="5"/>
  <c r="BE217" i="5" s="1"/>
  <c r="BU216" i="5"/>
  <c r="BU217" i="5" s="1"/>
  <c r="BF216" i="5"/>
  <c r="BF217" i="5" s="1"/>
  <c r="BY216" i="5"/>
  <c r="BY217" i="5" s="1"/>
  <c r="CA216" i="5"/>
  <c r="CA217" i="5" s="1"/>
  <c r="L12" i="15" s="1"/>
  <c r="BJ216" i="5"/>
  <c r="BJ217" i="5" s="1"/>
  <c r="AZ221" i="5"/>
  <c r="AZ222" i="5" s="1"/>
  <c r="BM221" i="5"/>
  <c r="BM222" i="5" s="1"/>
  <c r="CA221" i="5"/>
  <c r="CA222" i="5" s="1"/>
  <c r="CK221" i="5"/>
  <c r="CK222" i="5" s="1"/>
  <c r="BF221" i="5"/>
  <c r="BF222" i="5" s="1"/>
  <c r="BT221" i="5"/>
  <c r="BT222" i="5" s="1"/>
  <c r="BW221" i="5"/>
  <c r="BW222" i="5" s="1"/>
  <c r="CI221" i="5"/>
  <c r="CI222" i="5" s="1"/>
  <c r="BJ221" i="5"/>
  <c r="BJ222" i="5" s="1"/>
  <c r="BH221" i="5"/>
  <c r="BH222" i="5" s="1"/>
  <c r="BV221" i="5"/>
  <c r="BV222" i="5" s="1"/>
  <c r="BG221" i="5"/>
  <c r="BG222" i="5" s="1"/>
  <c r="BK221" i="5"/>
  <c r="BK222" i="5" s="1"/>
  <c r="BY221" i="5"/>
  <c r="BY222" i="5" s="1"/>
  <c r="BI221" i="5"/>
  <c r="BI222" i="5" s="1"/>
  <c r="BD221" i="5"/>
  <c r="BD222" i="5" s="1"/>
  <c r="CD221" i="5"/>
  <c r="CD222" i="5" s="1"/>
  <c r="BB64" i="5"/>
  <c r="AU221" i="5"/>
  <c r="AU222" i="5" s="1"/>
  <c r="BE221" i="5"/>
  <c r="BE222" i="5" s="1"/>
  <c r="BU221" i="5"/>
  <c r="BU222" i="5" s="1"/>
  <c r="CC221" i="5"/>
  <c r="CC222" i="5" s="1"/>
  <c r="BO64" i="5"/>
  <c r="AV221" i="5"/>
  <c r="AV222" i="5" s="1"/>
  <c r="BQ221" i="5"/>
  <c r="BQ222" i="5" s="1"/>
  <c r="BS221" i="5"/>
  <c r="BS222" i="5" s="1"/>
  <c r="CF221" i="5"/>
  <c r="CF222" i="5" s="1"/>
  <c r="AY221" i="5"/>
  <c r="AY222" i="5" s="1"/>
  <c r="BP64" i="5"/>
  <c r="BP221" i="5" s="1"/>
  <c r="BP222" i="5" s="1"/>
  <c r="BA221" i="5"/>
  <c r="BA222" i="5" s="1"/>
  <c r="BR221" i="5"/>
  <c r="BR222" i="5" s="1"/>
  <c r="CE221" i="5"/>
  <c r="CE222" i="5" s="1"/>
  <c r="H49" i="10"/>
  <c r="CK216" i="5"/>
  <c r="CK217" i="5" s="1"/>
  <c r="M12" i="15" s="1"/>
  <c r="M40" i="15" s="1"/>
  <c r="F10" i="16"/>
  <c r="D48" i="10"/>
  <c r="F12" i="16"/>
  <c r="F40" i="16" s="1"/>
  <c r="D50" i="10"/>
  <c r="CB18" i="5"/>
  <c r="AA11" i="16"/>
  <c r="G39" i="16"/>
  <c r="AB11" i="16"/>
  <c r="AB45" i="16" s="1"/>
  <c r="J11" i="16"/>
  <c r="F75" i="16"/>
  <c r="F80" i="16" s="1"/>
  <c r="CD216" i="5"/>
  <c r="CD217" i="5" s="1"/>
  <c r="BG216" i="5"/>
  <c r="BG217" i="5" s="1"/>
  <c r="AZ218" i="5"/>
  <c r="AZ219" i="5" s="1"/>
  <c r="BT218" i="5"/>
  <c r="BT219" i="5" s="1"/>
  <c r="BU218" i="5"/>
  <c r="BU219" i="5" s="1"/>
  <c r="CF218" i="5"/>
  <c r="CF219" i="5" s="1"/>
  <c r="AY218" i="5"/>
  <c r="AY219" i="5" s="1"/>
  <c r="BD218" i="5"/>
  <c r="BD219" i="5" s="1"/>
  <c r="BJ218" i="5"/>
  <c r="BJ219" i="5" s="1"/>
  <c r="CK218" i="5"/>
  <c r="CK219" i="5" s="1"/>
  <c r="BI218" i="5"/>
  <c r="BI219" i="5" s="1"/>
  <c r="BV218" i="5"/>
  <c r="BV219" i="5" s="1"/>
  <c r="BR218" i="5"/>
  <c r="BR219" i="5" s="1"/>
  <c r="CI218" i="5"/>
  <c r="CI219" i="5" s="1"/>
  <c r="BG218" i="5"/>
  <c r="BG219" i="5" s="1"/>
  <c r="BW218" i="5"/>
  <c r="BW219" i="5" s="1"/>
  <c r="CD218" i="5"/>
  <c r="CD219" i="5" s="1"/>
  <c r="AZ216" i="5"/>
  <c r="AZ217" i="5" s="1"/>
  <c r="G12" i="15" s="1"/>
  <c r="BE218" i="5"/>
  <c r="BE219" i="5" s="1"/>
  <c r="BH218" i="5"/>
  <c r="BH219" i="5" s="1"/>
  <c r="BY218" i="5"/>
  <c r="BY219" i="5" s="1"/>
  <c r="BP36" i="5"/>
  <c r="BP218" i="5" s="1"/>
  <c r="BP219" i="5" s="1"/>
  <c r="BA218" i="5"/>
  <c r="BA219" i="5" s="1"/>
  <c r="BS218" i="5"/>
  <c r="BS219" i="5" s="1"/>
  <c r="CA218" i="5"/>
  <c r="CA219" i="5" s="1"/>
  <c r="BN36" i="5"/>
  <c r="AU218" i="5"/>
  <c r="AU219" i="5" s="1"/>
  <c r="BQ218" i="5"/>
  <c r="BQ219" i="5" s="1"/>
  <c r="BM218" i="5"/>
  <c r="BM219" i="5" s="1"/>
  <c r="CC218" i="5"/>
  <c r="CC219" i="5" s="1"/>
  <c r="BC36" i="5"/>
  <c r="AV218" i="5"/>
  <c r="AV219" i="5" s="1"/>
  <c r="BF218" i="5"/>
  <c r="BF219" i="5" s="1"/>
  <c r="BK218" i="5"/>
  <c r="BK219" i="5" s="1"/>
  <c r="CE218" i="5"/>
  <c r="CE219" i="5" s="1"/>
  <c r="CF216" i="5"/>
  <c r="CF217" i="5" s="1"/>
  <c r="BK216" i="5"/>
  <c r="BK217" i="5" s="1"/>
  <c r="BD216" i="5"/>
  <c r="BD217" i="5" s="1"/>
  <c r="BM216" i="5"/>
  <c r="BM217" i="5" s="1"/>
  <c r="I12" i="15" s="1"/>
  <c r="I40" i="15" s="1"/>
  <c r="H38" i="10"/>
  <c r="H27" i="10"/>
  <c r="F10" i="14"/>
  <c r="D26" i="10"/>
  <c r="AA39" i="15"/>
  <c r="J39" i="15"/>
  <c r="D28" i="10"/>
  <c r="F12" i="14"/>
  <c r="F40" i="14" s="1"/>
  <c r="F10" i="15"/>
  <c r="F38" i="15" s="1"/>
  <c r="D37" i="10"/>
  <c r="F12" i="15"/>
  <c r="D39" i="10"/>
  <c r="BC30" i="5"/>
  <c r="AV216" i="5"/>
  <c r="AV217" i="5" s="1"/>
  <c r="BP30" i="5"/>
  <c r="BP216" i="5" s="1"/>
  <c r="BP217" i="5" s="1"/>
  <c r="BA216" i="5"/>
  <c r="BA217" i="5" s="1"/>
  <c r="AA11" i="14"/>
  <c r="G39" i="14"/>
  <c r="AB11" i="14"/>
  <c r="AB45" i="14" s="1"/>
  <c r="J11" i="14"/>
  <c r="BB30" i="5"/>
  <c r="AU216" i="5"/>
  <c r="AU217" i="5" s="1"/>
  <c r="CB8" i="5"/>
  <c r="F75" i="15"/>
  <c r="F80" i="15" s="1"/>
  <c r="F75" i="14"/>
  <c r="F80" i="14" s="1"/>
  <c r="BQ214" i="5"/>
  <c r="BQ215" i="5" s="1"/>
  <c r="BL8" i="5"/>
  <c r="BO6" i="5"/>
  <c r="CA214" i="5"/>
  <c r="CA215" i="5" s="1"/>
  <c r="BB5" i="5"/>
  <c r="BB209" i="5" s="1"/>
  <c r="BB210" i="5" s="1"/>
  <c r="BD214" i="5"/>
  <c r="BD215" i="5" s="1"/>
  <c r="BN109" i="5"/>
  <c r="CI214" i="5"/>
  <c r="CI215" i="5" s="1"/>
  <c r="CK214" i="5"/>
  <c r="CK215" i="5" s="1"/>
  <c r="BT214" i="5"/>
  <c r="BT215" i="5" s="1"/>
  <c r="BU214" i="5"/>
  <c r="BU215" i="5" s="1"/>
  <c r="BI214" i="5"/>
  <c r="BI215" i="5" s="1"/>
  <c r="BS214" i="5"/>
  <c r="BS215" i="5" s="1"/>
  <c r="BG214" i="5"/>
  <c r="BG215" i="5" s="1"/>
  <c r="CC214" i="5"/>
  <c r="CC215" i="5" s="1"/>
  <c r="AY214" i="5"/>
  <c r="AY215" i="5" s="1"/>
  <c r="BM214" i="5"/>
  <c r="BM215" i="5" s="1"/>
  <c r="BF214" i="5"/>
  <c r="BF215" i="5" s="1"/>
  <c r="BH214" i="5"/>
  <c r="BH215" i="5" s="1"/>
  <c r="BJ214" i="5"/>
  <c r="BJ215" i="5" s="1"/>
  <c r="CF214" i="5"/>
  <c r="CF215" i="5" s="1"/>
  <c r="BC17" i="5"/>
  <c r="AV214" i="5"/>
  <c r="AV215" i="5" s="1"/>
  <c r="AZ214" i="5"/>
  <c r="AZ215" i="5" s="1"/>
  <c r="BE214" i="5"/>
  <c r="BE215" i="5" s="1"/>
  <c r="BK214" i="5"/>
  <c r="BK215" i="5" s="1"/>
  <c r="CD214" i="5"/>
  <c r="CD215" i="5" s="1"/>
  <c r="BC34" i="5"/>
  <c r="CE214" i="5"/>
  <c r="CE215" i="5" s="1"/>
  <c r="BY214" i="5"/>
  <c r="BY215" i="5" s="1"/>
  <c r="BB17" i="5"/>
  <c r="AU214" i="5"/>
  <c r="AU215" i="5" s="1"/>
  <c r="BR214" i="5"/>
  <c r="BR215" i="5" s="1"/>
  <c r="BW214" i="5"/>
  <c r="BW215" i="5" s="1"/>
  <c r="BP17" i="5"/>
  <c r="BP214" i="5" s="1"/>
  <c r="BP215" i="5" s="1"/>
  <c r="BA214" i="5"/>
  <c r="BA215" i="5" s="1"/>
  <c r="BV214" i="5"/>
  <c r="BV215" i="5" s="1"/>
  <c r="BB67" i="5"/>
  <c r="BZ67" i="5" s="1"/>
  <c r="H16" i="10"/>
  <c r="BB124" i="5"/>
  <c r="G39" i="13"/>
  <c r="AB11" i="13"/>
  <c r="AB45" i="13" s="1"/>
  <c r="J11" i="13"/>
  <c r="AA11" i="13"/>
  <c r="BC58" i="5"/>
  <c r="F10" i="13"/>
  <c r="D15" i="10"/>
  <c r="F12" i="13"/>
  <c r="F40" i="13" s="1"/>
  <c r="D17" i="10"/>
  <c r="CB133" i="5"/>
  <c r="CB176" i="5"/>
  <c r="CB136" i="5"/>
  <c r="CB82" i="5"/>
  <c r="CB10" i="5"/>
  <c r="CB12" i="5"/>
  <c r="BB131" i="5"/>
  <c r="BZ131" i="5" s="1"/>
  <c r="BC136" i="5"/>
  <c r="CB171" i="5"/>
  <c r="BO200" i="5"/>
  <c r="BX8" i="5"/>
  <c r="BB127" i="5"/>
  <c r="BL18" i="5"/>
  <c r="BN66" i="5"/>
  <c r="BZ66" i="5" s="1"/>
  <c r="CB83" i="5"/>
  <c r="CB4" i="5"/>
  <c r="BX4" i="5"/>
  <c r="BN9" i="5"/>
  <c r="BZ9" i="5" s="1"/>
  <c r="CB137" i="5"/>
  <c r="BO38" i="5"/>
  <c r="J11" i="12"/>
  <c r="BB133" i="5"/>
  <c r="BZ133" i="5" s="1"/>
  <c r="BL154" i="5"/>
  <c r="BN76" i="5"/>
  <c r="BC166" i="5"/>
  <c r="CB3" i="5"/>
  <c r="CB90" i="5"/>
  <c r="BC156" i="5"/>
  <c r="CB15" i="5"/>
  <c r="BB79" i="5"/>
  <c r="BZ79" i="5" s="1"/>
  <c r="BB56" i="5"/>
  <c r="BZ56" i="5" s="1"/>
  <c r="BN11" i="5"/>
  <c r="BZ11" i="5" s="1"/>
  <c r="BB141" i="5"/>
  <c r="BZ141" i="5" s="1"/>
  <c r="BC167" i="5"/>
  <c r="BC23" i="5"/>
  <c r="CB181" i="5"/>
  <c r="BO192" i="5"/>
  <c r="BO253" i="5" s="1"/>
  <c r="BO254" i="5" s="1"/>
  <c r="BC19" i="5"/>
  <c r="AA11" i="12"/>
  <c r="BB49" i="5"/>
  <c r="BZ49" i="5" s="1"/>
  <c r="BC82" i="5"/>
  <c r="BN16" i="5"/>
  <c r="BZ16" i="5" s="1"/>
  <c r="BB70" i="5"/>
  <c r="BZ70" i="5" s="1"/>
  <c r="BN19" i="5"/>
  <c r="BZ19" i="5" s="1"/>
  <c r="BC144" i="5"/>
  <c r="BO181" i="5"/>
  <c r="BN101" i="5"/>
  <c r="BZ101" i="5" s="1"/>
  <c r="BN40" i="5"/>
  <c r="BZ40" i="5" s="1"/>
  <c r="CB156" i="5"/>
  <c r="BO96" i="5"/>
  <c r="CB129" i="5"/>
  <c r="CB188" i="5"/>
  <c r="CB159" i="5"/>
  <c r="BO122" i="5"/>
  <c r="BN96" i="5"/>
  <c r="AB11" i="12"/>
  <c r="AB45" i="12" s="1"/>
  <c r="BB171" i="5"/>
  <c r="BZ171" i="5" s="1"/>
  <c r="BC57" i="5"/>
  <c r="BB161" i="5"/>
  <c r="BZ161" i="5" s="1"/>
  <c r="CB158" i="5"/>
  <c r="CB88" i="5"/>
  <c r="BB198" i="5"/>
  <c r="BZ198" i="5" s="1"/>
  <c r="BN95" i="5"/>
  <c r="BZ95" i="5" s="1"/>
  <c r="BC49" i="5"/>
  <c r="BC188" i="5"/>
  <c r="BC113" i="5"/>
  <c r="BO195" i="5"/>
  <c r="BO28" i="5"/>
  <c r="BN136" i="5"/>
  <c r="BZ136" i="5" s="1"/>
  <c r="BL130" i="5"/>
  <c r="BC150" i="5"/>
  <c r="BL137" i="5"/>
  <c r="CB206" i="5"/>
  <c r="CB200" i="5"/>
  <c r="BO204" i="5"/>
  <c r="BO47" i="5"/>
  <c r="CB13" i="5"/>
  <c r="CB197" i="5"/>
  <c r="CB61" i="5"/>
  <c r="BO161" i="5"/>
  <c r="BB28" i="5"/>
  <c r="BB159" i="5"/>
  <c r="BZ159" i="5" s="1"/>
  <c r="BC40" i="5"/>
  <c r="BO51" i="5"/>
  <c r="BO90" i="5"/>
  <c r="BO66" i="5"/>
  <c r="BO17" i="5"/>
  <c r="CB117" i="5"/>
  <c r="BO116" i="5"/>
  <c r="BO60" i="5"/>
  <c r="CB20" i="5"/>
  <c r="BL12" i="5"/>
  <c r="BO12" i="5"/>
  <c r="CB19" i="5"/>
  <c r="CB58" i="5"/>
  <c r="CB199" i="5"/>
  <c r="CB95" i="5"/>
  <c r="BN22" i="5"/>
  <c r="BZ22" i="5" s="1"/>
  <c r="BO184" i="5"/>
  <c r="BC177" i="5"/>
  <c r="CB183" i="5"/>
  <c r="BO109" i="5"/>
  <c r="BB170" i="5"/>
  <c r="BZ170" i="5" s="1"/>
  <c r="BB140" i="5"/>
  <c r="CB111" i="5"/>
  <c r="CB45" i="5"/>
  <c r="BN166" i="5"/>
  <c r="BO27" i="5"/>
  <c r="BB60" i="5"/>
  <c r="BZ60" i="5" s="1"/>
  <c r="BO85" i="5"/>
  <c r="CB11" i="5"/>
  <c r="CB172" i="5"/>
  <c r="BB187" i="5"/>
  <c r="BZ187" i="5" s="1"/>
  <c r="BC98" i="5"/>
  <c r="CB76" i="5"/>
  <c r="BB142" i="5"/>
  <c r="BC148" i="5"/>
  <c r="CB193" i="5"/>
  <c r="BC54" i="5"/>
  <c r="BB120" i="5"/>
  <c r="BZ120" i="5" s="1"/>
  <c r="CB120" i="5"/>
  <c r="BC62" i="5"/>
  <c r="CB147" i="5"/>
  <c r="BO168" i="5"/>
  <c r="BB126" i="5"/>
  <c r="BZ126" i="5" s="1"/>
  <c r="CB184" i="5"/>
  <c r="CB52" i="5"/>
  <c r="CB152" i="5"/>
  <c r="BO84" i="5"/>
  <c r="BN108" i="5"/>
  <c r="BZ108" i="5" s="1"/>
  <c r="BB150" i="5"/>
  <c r="BZ150" i="5" s="1"/>
  <c r="BO24" i="5"/>
  <c r="BC83" i="5"/>
  <c r="BB148" i="5"/>
  <c r="BZ148" i="5" s="1"/>
  <c r="CB185" i="5"/>
  <c r="BC111" i="5"/>
  <c r="BN43" i="5"/>
  <c r="BZ43" i="5" s="1"/>
  <c r="BB195" i="5"/>
  <c r="BZ195" i="5" s="1"/>
  <c r="BN30" i="5"/>
  <c r="BN102" i="5"/>
  <c r="BZ102" i="5" s="1"/>
  <c r="CB37" i="5"/>
  <c r="BC158" i="5"/>
  <c r="CB35" i="5"/>
  <c r="CB107" i="5"/>
  <c r="CB16" i="5"/>
  <c r="BN63" i="5"/>
  <c r="BZ63" i="5" s="1"/>
  <c r="BO149" i="5"/>
  <c r="BC135" i="5"/>
  <c r="CB205" i="5"/>
  <c r="BN55" i="5"/>
  <c r="BZ55" i="5" s="1"/>
  <c r="BC133" i="5"/>
  <c r="CB78" i="5"/>
  <c r="BX78" i="5"/>
  <c r="BN106" i="5"/>
  <c r="BZ106" i="5" s="1"/>
  <c r="CB21" i="5"/>
  <c r="D6" i="10"/>
  <c r="F12" i="12"/>
  <c r="F40" i="12" s="1"/>
  <c r="BC134" i="5"/>
  <c r="AY211" i="5"/>
  <c r="AY212" i="5" s="1"/>
  <c r="BT211" i="5"/>
  <c r="BT212" i="5" s="1"/>
  <c r="BR211" i="5"/>
  <c r="BR212" i="5" s="1"/>
  <c r="BV211" i="5"/>
  <c r="BV212" i="5" s="1"/>
  <c r="CK211" i="5"/>
  <c r="CK212" i="5" s="1"/>
  <c r="CB168" i="5"/>
  <c r="BC190" i="5"/>
  <c r="BC247" i="5" s="1"/>
  <c r="BC248" i="5" s="1"/>
  <c r="BC126" i="5"/>
  <c r="BC141" i="5"/>
  <c r="BB71" i="5"/>
  <c r="BZ71" i="5" s="1"/>
  <c r="BO189" i="5"/>
  <c r="BO118" i="5"/>
  <c r="BB169" i="5"/>
  <c r="BO30" i="5"/>
  <c r="BO216" i="5" s="1"/>
  <c r="BO217" i="5" s="1"/>
  <c r="BO102" i="5"/>
  <c r="BN160" i="5"/>
  <c r="BZ160" i="5" s="1"/>
  <c r="BC123" i="5"/>
  <c r="BN59" i="5"/>
  <c r="BZ59" i="5" s="1"/>
  <c r="BN41" i="5"/>
  <c r="BZ41" i="5" s="1"/>
  <c r="BB83" i="5"/>
  <c r="BZ83" i="5" s="1"/>
  <c r="BC67" i="5"/>
  <c r="BO198" i="5"/>
  <c r="BH211" i="5"/>
  <c r="BH212" i="5" s="1"/>
  <c r="BG211" i="5"/>
  <c r="BG212" i="5" s="1"/>
  <c r="BN31" i="5"/>
  <c r="BZ31" i="5" s="1"/>
  <c r="BC193" i="5"/>
  <c r="BC253" i="5" s="1"/>
  <c r="BC254" i="5" s="1"/>
  <c r="BC129" i="5"/>
  <c r="BC103" i="5"/>
  <c r="BO140" i="5"/>
  <c r="BN185" i="5"/>
  <c r="BZ185" i="5" s="1"/>
  <c r="BB52" i="5"/>
  <c r="BZ52" i="5" s="1"/>
  <c r="BX131" i="5"/>
  <c r="BO37" i="5"/>
  <c r="CB41" i="5"/>
  <c r="BC9" i="5"/>
  <c r="BO145" i="5"/>
  <c r="BO75" i="5"/>
  <c r="BB178" i="5"/>
  <c r="BZ178" i="5" s="1"/>
  <c r="BO137" i="5"/>
  <c r="BB206" i="5"/>
  <c r="BO157" i="5"/>
  <c r="BB97" i="5"/>
  <c r="BZ97" i="5" s="1"/>
  <c r="BF211" i="5"/>
  <c r="BF212" i="5" s="1"/>
  <c r="BQ211" i="5"/>
  <c r="BQ212" i="5" s="1"/>
  <c r="CC211" i="5"/>
  <c r="CC212" i="5" s="1"/>
  <c r="CA211" i="5"/>
  <c r="CA212" i="5" s="1"/>
  <c r="BC170" i="5"/>
  <c r="BN128" i="5"/>
  <c r="BZ128" i="5" s="1"/>
  <c r="BB110" i="5"/>
  <c r="BZ110" i="5" s="1"/>
  <c r="BN89" i="5"/>
  <c r="BZ89" i="5" s="1"/>
  <c r="BO70" i="5"/>
  <c r="BB155" i="5"/>
  <c r="BC112" i="5"/>
  <c r="BB203" i="5"/>
  <c r="BZ203" i="5" s="1"/>
  <c r="BO197" i="5"/>
  <c r="CB175" i="5"/>
  <c r="BB37" i="5"/>
  <c r="BZ37" i="5" s="1"/>
  <c r="BL201" i="5"/>
  <c r="BN17" i="5"/>
  <c r="BB117" i="5"/>
  <c r="BZ117" i="5" s="1"/>
  <c r="BN116" i="5"/>
  <c r="BZ116" i="5" s="1"/>
  <c r="BC131" i="5"/>
  <c r="BO160" i="5"/>
  <c r="BC101" i="5"/>
  <c r="BL19" i="5"/>
  <c r="BB74" i="5"/>
  <c r="BZ74" i="5" s="1"/>
  <c r="BC107" i="5"/>
  <c r="BN105" i="5"/>
  <c r="BZ105" i="5" s="1"/>
  <c r="BO50" i="5"/>
  <c r="BB151" i="5"/>
  <c r="BZ151" i="5" s="1"/>
  <c r="BB72" i="5"/>
  <c r="BZ72" i="5" s="1"/>
  <c r="BO88" i="5"/>
  <c r="BK211" i="5"/>
  <c r="BK212" i="5" s="1"/>
  <c r="BW211" i="5"/>
  <c r="BW212" i="5" s="1"/>
  <c r="BI211" i="5"/>
  <c r="BI212" i="5" s="1"/>
  <c r="CD211" i="5"/>
  <c r="CD212" i="5" s="1"/>
  <c r="BB104" i="5"/>
  <c r="BB58" i="5"/>
  <c r="CB56" i="5"/>
  <c r="BB135" i="5"/>
  <c r="BZ135" i="5" s="1"/>
  <c r="BB103" i="5"/>
  <c r="BZ103" i="5" s="1"/>
  <c r="BN191" i="5"/>
  <c r="CB55" i="5"/>
  <c r="BX125" i="5"/>
  <c r="CB139" i="5"/>
  <c r="BC169" i="5"/>
  <c r="BB173" i="5"/>
  <c r="BZ173" i="5" s="1"/>
  <c r="BB107" i="5"/>
  <c r="BZ107" i="5" s="1"/>
  <c r="BO194" i="5"/>
  <c r="BB98" i="5"/>
  <c r="BZ98" i="5" s="1"/>
  <c r="BB42" i="5"/>
  <c r="BZ42" i="5" s="1"/>
  <c r="BO186" i="5"/>
  <c r="BO3" i="5"/>
  <c r="BN75" i="5"/>
  <c r="BZ75" i="5" s="1"/>
  <c r="CB151" i="5"/>
  <c r="BC178" i="5"/>
  <c r="BX33" i="5"/>
  <c r="BD211" i="5"/>
  <c r="BD212" i="5" s="1"/>
  <c r="BY211" i="5"/>
  <c r="BY212" i="5" s="1"/>
  <c r="CE211" i="5"/>
  <c r="CE212" i="5" s="1"/>
  <c r="CB23" i="5"/>
  <c r="BC128" i="5"/>
  <c r="CB128" i="5"/>
  <c r="BB199" i="5"/>
  <c r="BZ199" i="5" s="1"/>
  <c r="BC199" i="5"/>
  <c r="BC89" i="5"/>
  <c r="BC14" i="5"/>
  <c r="BN14" i="5"/>
  <c r="BZ14" i="5" s="1"/>
  <c r="BN162" i="5"/>
  <c r="BZ162" i="5" s="1"/>
  <c r="BC203" i="5"/>
  <c r="AA39" i="12"/>
  <c r="J39" i="12"/>
  <c r="BB100" i="5"/>
  <c r="BZ100" i="5" s="1"/>
  <c r="BO100" i="5"/>
  <c r="BO93" i="5"/>
  <c r="BL20" i="5"/>
  <c r="BB85" i="5"/>
  <c r="BB152" i="5"/>
  <c r="BZ152" i="5" s="1"/>
  <c r="BB26" i="5"/>
  <c r="BZ26" i="5" s="1"/>
  <c r="BN145" i="5"/>
  <c r="BZ145" i="5" s="1"/>
  <c r="BB114" i="5"/>
  <c r="BZ114" i="5" s="1"/>
  <c r="BB7" i="5"/>
  <c r="AU211" i="5"/>
  <c r="AU212" i="5" s="1"/>
  <c r="AZ211" i="5"/>
  <c r="AZ212" i="5" s="1"/>
  <c r="BS211" i="5"/>
  <c r="BS212" i="5" s="1"/>
  <c r="CF211" i="5"/>
  <c r="CF212" i="5" s="1"/>
  <c r="CI211" i="5"/>
  <c r="CI212" i="5" s="1"/>
  <c r="BB25" i="5"/>
  <c r="BZ25" i="5" s="1"/>
  <c r="BO48" i="5"/>
  <c r="BO5" i="5"/>
  <c r="CB177" i="5"/>
  <c r="BO125" i="5"/>
  <c r="CB146" i="5"/>
  <c r="BC180" i="5"/>
  <c r="BB138" i="5"/>
  <c r="BZ138" i="5" s="1"/>
  <c r="BB68" i="5"/>
  <c r="BZ68" i="5" s="1"/>
  <c r="BC153" i="5"/>
  <c r="CB108" i="5"/>
  <c r="BN35" i="5"/>
  <c r="CB34" i="5"/>
  <c r="BC164" i="5"/>
  <c r="BO76" i="5"/>
  <c r="BO7" i="5"/>
  <c r="AV211" i="5"/>
  <c r="AV212" i="5" s="1"/>
  <c r="BE211" i="5"/>
  <c r="BE212" i="5" s="1"/>
  <c r="BJ211" i="5"/>
  <c r="BJ212" i="5" s="1"/>
  <c r="BM211" i="5"/>
  <c r="BM212" i="5" s="1"/>
  <c r="CB87" i="5"/>
  <c r="BO95" i="5"/>
  <c r="BO147" i="5"/>
  <c r="BN176" i="5"/>
  <c r="CB189" i="5"/>
  <c r="BN197" i="5"/>
  <c r="BZ197" i="5" s="1"/>
  <c r="BN20" i="5"/>
  <c r="BZ20" i="5" s="1"/>
  <c r="BB153" i="5"/>
  <c r="BZ153" i="5" s="1"/>
  <c r="BO105" i="5"/>
  <c r="BO73" i="5"/>
  <c r="BC99" i="5"/>
  <c r="AZ209" i="5"/>
  <c r="AZ210" i="5" s="1"/>
  <c r="F10" i="12"/>
  <c r="D4" i="10"/>
  <c r="BA211" i="5"/>
  <c r="BA212" i="5" s="1"/>
  <c r="BP7" i="5"/>
  <c r="BP211" i="5" s="1"/>
  <c r="BP212" i="5" s="1"/>
  <c r="BU211" i="5"/>
  <c r="BU212" i="5" s="1"/>
  <c r="BN64" i="5"/>
  <c r="BC32" i="5"/>
  <c r="BN205" i="5"/>
  <c r="BZ205" i="5" s="1"/>
  <c r="BN48" i="5"/>
  <c r="BZ48" i="5" s="1"/>
  <c r="BN86" i="5"/>
  <c r="BZ86" i="5" s="1"/>
  <c r="BN182" i="5"/>
  <c r="BZ182" i="5" s="1"/>
  <c r="CB27" i="5"/>
  <c r="CB113" i="5"/>
  <c r="CB166" i="5"/>
  <c r="CB116" i="5"/>
  <c r="CB153" i="5"/>
  <c r="CB75" i="5"/>
  <c r="CB67" i="5"/>
  <c r="CB63" i="5"/>
  <c r="CB71" i="5"/>
  <c r="CB5" i="5"/>
  <c r="CB53" i="5"/>
  <c r="CB203" i="5"/>
  <c r="CB196" i="5"/>
  <c r="BL68" i="5"/>
  <c r="CB28" i="5"/>
  <c r="BL11" i="5"/>
  <c r="BG209" i="5"/>
  <c r="BG210" i="5" s="1"/>
  <c r="BX170" i="5"/>
  <c r="CB89" i="5"/>
  <c r="CB25" i="5"/>
  <c r="CB141" i="5"/>
  <c r="BL14" i="5"/>
  <c r="CB112" i="5"/>
  <c r="F75" i="12"/>
  <c r="F80" i="12" s="1"/>
  <c r="BL188" i="5"/>
  <c r="BL77" i="5"/>
  <c r="CB49" i="5"/>
  <c r="CB101" i="5"/>
  <c r="CB40" i="5"/>
  <c r="CB173" i="5"/>
  <c r="BX199" i="5"/>
  <c r="CB121" i="5"/>
  <c r="CB154" i="5"/>
  <c r="CB66" i="5"/>
  <c r="CB100" i="5"/>
  <c r="BX44" i="5"/>
  <c r="CB195" i="5"/>
  <c r="CB131" i="5"/>
  <c r="CB167" i="5"/>
  <c r="CB92" i="5"/>
  <c r="CB91" i="5"/>
  <c r="CB59" i="5"/>
  <c r="CB165" i="5"/>
  <c r="BL164" i="5"/>
  <c r="CB179" i="5"/>
  <c r="CB42" i="5"/>
  <c r="CB143" i="5"/>
  <c r="CB80" i="5"/>
  <c r="CB163" i="5"/>
  <c r="CB104" i="5"/>
  <c r="CB135" i="5"/>
  <c r="CB204" i="5"/>
  <c r="CB140" i="5"/>
  <c r="BL22" i="5"/>
  <c r="CB48" i="5"/>
  <c r="BL52" i="5"/>
  <c r="BL196" i="5"/>
  <c r="BX161" i="5"/>
  <c r="BL101" i="5"/>
  <c r="CB123" i="5"/>
  <c r="CB50" i="5"/>
  <c r="CB145" i="5"/>
  <c r="BL3" i="5"/>
  <c r="CE209" i="5"/>
  <c r="CE210" i="5" s="1"/>
  <c r="CB170" i="5"/>
  <c r="BX32" i="5"/>
  <c r="CB155" i="5"/>
  <c r="CB57" i="5"/>
  <c r="CB106" i="5"/>
  <c r="CB68" i="5"/>
  <c r="BL105" i="5"/>
  <c r="CB73" i="5"/>
  <c r="CB9" i="5"/>
  <c r="CB26" i="5"/>
  <c r="CB122" i="5"/>
  <c r="CB162" i="5"/>
  <c r="CB119" i="5"/>
  <c r="BL175" i="5"/>
  <c r="BX202" i="5"/>
  <c r="BL74" i="5"/>
  <c r="CB130" i="5"/>
  <c r="BX9" i="5"/>
  <c r="CB115" i="5"/>
  <c r="CB186" i="5"/>
  <c r="CB72" i="5"/>
  <c r="BL192" i="5"/>
  <c r="CB39" i="5"/>
  <c r="CB124" i="5"/>
  <c r="BL118" i="5"/>
  <c r="CB77" i="5"/>
  <c r="BL180" i="5"/>
  <c r="CB105" i="5"/>
  <c r="BL114" i="5"/>
  <c r="CB97" i="5"/>
  <c r="CB65" i="5"/>
  <c r="CB96" i="5"/>
  <c r="BL89" i="5"/>
  <c r="BC175" i="5"/>
  <c r="BB201" i="5"/>
  <c r="BN113" i="5"/>
  <c r="BZ113" i="5" s="1"/>
  <c r="BB81" i="5"/>
  <c r="BZ81" i="5" s="1"/>
  <c r="BC146" i="5"/>
  <c r="BN175" i="5"/>
  <c r="BZ175" i="5" s="1"/>
  <c r="BX175" i="5"/>
  <c r="BL37" i="5"/>
  <c r="BX43" i="5"/>
  <c r="BX195" i="5"/>
  <c r="BL202" i="5"/>
  <c r="BC20" i="5"/>
  <c r="BC159" i="5"/>
  <c r="BO159" i="5"/>
  <c r="CB126" i="5"/>
  <c r="BX126" i="5"/>
  <c r="BC106" i="5"/>
  <c r="BB146" i="5"/>
  <c r="BZ146" i="5" s="1"/>
  <c r="BN188" i="5"/>
  <c r="BZ188" i="5" s="1"/>
  <c r="BX188" i="5"/>
  <c r="BO139" i="5"/>
  <c r="BC77" i="5"/>
  <c r="BN77" i="5"/>
  <c r="BZ77" i="5" s="1"/>
  <c r="BL106" i="5"/>
  <c r="BO201" i="5"/>
  <c r="BX100" i="5"/>
  <c r="BN27" i="5"/>
  <c r="BB27" i="5"/>
  <c r="CB44" i="5"/>
  <c r="BL44" i="5"/>
  <c r="BO44" i="5"/>
  <c r="CB180" i="5"/>
  <c r="CB202" i="5"/>
  <c r="BC94" i="5"/>
  <c r="BX20" i="5"/>
  <c r="CB84" i="5"/>
  <c r="CB74" i="5"/>
  <c r="BX74" i="5"/>
  <c r="BN139" i="5"/>
  <c r="CB102" i="5"/>
  <c r="BX102" i="5"/>
  <c r="BX113" i="5"/>
  <c r="BO117" i="5"/>
  <c r="BX180" i="5"/>
  <c r="BL161" i="5"/>
  <c r="BB93" i="5"/>
  <c r="BZ93" i="5" s="1"/>
  <c r="BO152" i="5"/>
  <c r="BC152" i="5"/>
  <c r="CB174" i="5"/>
  <c r="BX174" i="5"/>
  <c r="BX81" i="5"/>
  <c r="BN180" i="5"/>
  <c r="BB180" i="5"/>
  <c r="BO138" i="5"/>
  <c r="BC138" i="5"/>
  <c r="CB93" i="5"/>
  <c r="BN158" i="5"/>
  <c r="CB134" i="5"/>
  <c r="BX134" i="5"/>
  <c r="CB62" i="5"/>
  <c r="BX62" i="5"/>
  <c r="BN44" i="5"/>
  <c r="BZ44" i="5" s="1"/>
  <c r="BN21" i="5"/>
  <c r="BB21" i="5"/>
  <c r="BB167" i="5"/>
  <c r="BN167" i="5"/>
  <c r="CB38" i="5"/>
  <c r="BX38" i="5"/>
  <c r="BX66" i="5"/>
  <c r="BC81" i="5"/>
  <c r="CB81" i="5"/>
  <c r="BL100" i="5"/>
  <c r="BL43" i="5"/>
  <c r="CB60" i="5"/>
  <c r="CB160" i="5"/>
  <c r="CB54" i="5"/>
  <c r="BX54" i="5"/>
  <c r="CB86" i="5"/>
  <c r="BX86" i="5"/>
  <c r="BL113" i="5"/>
  <c r="BX77" i="5"/>
  <c r="BX68" i="5"/>
  <c r="CB70" i="5"/>
  <c r="BX70" i="5"/>
  <c r="CB46" i="5"/>
  <c r="BX46" i="5"/>
  <c r="BL146" i="5"/>
  <c r="BX146" i="5"/>
  <c r="BX37" i="5"/>
  <c r="BX106" i="5"/>
  <c r="BL66" i="5"/>
  <c r="BX117" i="5"/>
  <c r="BN202" i="5"/>
  <c r="BB202" i="5"/>
  <c r="CB110" i="5"/>
  <c r="BX110" i="5"/>
  <c r="CB182" i="5"/>
  <c r="BX182" i="5"/>
  <c r="BX49" i="5"/>
  <c r="BN181" i="5"/>
  <c r="BL117" i="5"/>
  <c r="CB43" i="5"/>
  <c r="BO43" i="5"/>
  <c r="BL131" i="5"/>
  <c r="BL60" i="5"/>
  <c r="BO202" i="5"/>
  <c r="BL138" i="5"/>
  <c r="CB138" i="5"/>
  <c r="CB161" i="5"/>
  <c r="BN94" i="5"/>
  <c r="BL21" i="5"/>
  <c r="BO21" i="5"/>
  <c r="BX21" i="5"/>
  <c r="BL93" i="5"/>
  <c r="BX152" i="5"/>
  <c r="BO11" i="5"/>
  <c r="BN92" i="5"/>
  <c r="BL91" i="5"/>
  <c r="BO108" i="5"/>
  <c r="BL172" i="5"/>
  <c r="BX34" i="5"/>
  <c r="BL187" i="5"/>
  <c r="BB51" i="5"/>
  <c r="BZ51" i="5" s="1"/>
  <c r="BX51" i="5"/>
  <c r="BN194" i="5"/>
  <c r="BX130" i="5"/>
  <c r="BC59" i="5"/>
  <c r="BX73" i="5"/>
  <c r="BC41" i="5"/>
  <c r="BC165" i="5"/>
  <c r="BN164" i="5"/>
  <c r="BX98" i="5"/>
  <c r="BN179" i="5"/>
  <c r="BL115" i="5"/>
  <c r="BN115" i="5"/>
  <c r="BZ115" i="5" s="1"/>
  <c r="BX151" i="5"/>
  <c r="BB137" i="5"/>
  <c r="BZ137" i="5" s="1"/>
  <c r="BB143" i="5"/>
  <c r="BZ143" i="5" s="1"/>
  <c r="BB157" i="5"/>
  <c r="BZ157" i="5" s="1"/>
  <c r="BL156" i="5"/>
  <c r="BB88" i="5"/>
  <c r="BO171" i="5"/>
  <c r="AY209" i="5"/>
  <c r="AY210" i="5" s="1"/>
  <c r="BF209" i="5"/>
  <c r="BF210" i="5" s="1"/>
  <c r="BS209" i="5"/>
  <c r="BS210" i="5" s="1"/>
  <c r="BX2" i="5"/>
  <c r="BU209" i="5"/>
  <c r="BU210" i="5" s="1"/>
  <c r="BX65" i="5"/>
  <c r="BL33" i="5"/>
  <c r="CB33" i="5"/>
  <c r="BC63" i="5"/>
  <c r="BC7" i="5"/>
  <c r="BX148" i="5"/>
  <c r="BO79" i="5"/>
  <c r="BN23" i="5"/>
  <c r="BZ23" i="5" s="1"/>
  <c r="BX193" i="5"/>
  <c r="BB129" i="5"/>
  <c r="BZ129" i="5" s="1"/>
  <c r="BL199" i="5"/>
  <c r="BL103" i="5"/>
  <c r="BB168" i="5"/>
  <c r="BB200" i="5"/>
  <c r="BX89" i="5"/>
  <c r="BC25" i="5"/>
  <c r="BL204" i="5"/>
  <c r="BC155" i="5"/>
  <c r="BL95" i="5"/>
  <c r="BX48" i="5"/>
  <c r="BN47" i="5"/>
  <c r="BO127" i="5"/>
  <c r="BO55" i="5"/>
  <c r="BC132" i="5"/>
  <c r="BX147" i="5"/>
  <c r="BL78" i="5"/>
  <c r="BO154" i="5"/>
  <c r="BB177" i="5"/>
  <c r="BL39" i="5"/>
  <c r="BO176" i="5"/>
  <c r="BL119" i="5"/>
  <c r="BL46" i="5"/>
  <c r="BC174" i="5"/>
  <c r="BL36" i="5"/>
  <c r="BL69" i="5"/>
  <c r="BO69" i="5"/>
  <c r="BL57" i="5"/>
  <c r="BX45" i="5"/>
  <c r="BL197" i="5"/>
  <c r="BC196" i="5"/>
  <c r="BL84" i="5"/>
  <c r="BX11" i="5"/>
  <c r="BX40" i="5"/>
  <c r="BX136" i="5"/>
  <c r="BO74" i="5"/>
  <c r="BN91" i="5"/>
  <c r="BZ91" i="5" s="1"/>
  <c r="BL173" i="5"/>
  <c r="BL59" i="5"/>
  <c r="BL9" i="5"/>
  <c r="CB150" i="5"/>
  <c r="BX150" i="5"/>
  <c r="BB165" i="5"/>
  <c r="CB99" i="5"/>
  <c r="BN24" i="5"/>
  <c r="CB24" i="5"/>
  <c r="BB144" i="5"/>
  <c r="BO151" i="5"/>
  <c r="BL143" i="5"/>
  <c r="BC142" i="5"/>
  <c r="BX156" i="5"/>
  <c r="BB15" i="5"/>
  <c r="BO15" i="5"/>
  <c r="BL171" i="5"/>
  <c r="BX171" i="5"/>
  <c r="BH209" i="5"/>
  <c r="BH210" i="5" s="1"/>
  <c r="BK209" i="5"/>
  <c r="BK210" i="5" s="1"/>
  <c r="BR209" i="5"/>
  <c r="BR210" i="5" s="1"/>
  <c r="CD209" i="5"/>
  <c r="CD210" i="5" s="1"/>
  <c r="BL97" i="5"/>
  <c r="BC65" i="5"/>
  <c r="BB33" i="5"/>
  <c r="BZ33" i="5" s="1"/>
  <c r="BX79" i="5"/>
  <c r="BC163" i="5"/>
  <c r="BL170" i="5"/>
  <c r="BX128" i="5"/>
  <c r="BX135" i="5"/>
  <c r="BL64" i="5"/>
  <c r="BO110" i="5"/>
  <c r="BC10" i="5"/>
  <c r="CB190" i="5"/>
  <c r="CB247" i="5" s="1"/>
  <c r="CB248" i="5" s="1"/>
  <c r="BX190" i="5"/>
  <c r="BX247" i="5" s="1"/>
  <c r="BX248" i="5" s="1"/>
  <c r="BO87" i="5"/>
  <c r="BN87" i="5"/>
  <c r="BZ87" i="5" s="1"/>
  <c r="BC162" i="5"/>
  <c r="BC22" i="5"/>
  <c r="BL184" i="5"/>
  <c r="BO120" i="5"/>
  <c r="CB47" i="5"/>
  <c r="BX55" i="5"/>
  <c r="BL62" i="5"/>
  <c r="BB132" i="5"/>
  <c r="BZ132" i="5" s="1"/>
  <c r="BL86" i="5"/>
  <c r="BB13" i="5"/>
  <c r="BZ13" i="5" s="1"/>
  <c r="BX112" i="5"/>
  <c r="BO39" i="5"/>
  <c r="BB111" i="5"/>
  <c r="BZ111" i="5" s="1"/>
  <c r="BL38" i="5"/>
  <c r="BC119" i="5"/>
  <c r="BL125" i="5"/>
  <c r="BN53" i="5"/>
  <c r="BZ53" i="5" s="1"/>
  <c r="BO52" i="5"/>
  <c r="BX69" i="5"/>
  <c r="BB45" i="5"/>
  <c r="BZ45" i="5" s="1"/>
  <c r="BX160" i="5"/>
  <c r="BX167" i="5"/>
  <c r="BX159" i="5"/>
  <c r="BX91" i="5"/>
  <c r="BX108" i="5"/>
  <c r="BC35" i="5"/>
  <c r="BO172" i="5"/>
  <c r="BX107" i="5"/>
  <c r="BL34" i="5"/>
  <c r="BN34" i="5"/>
  <c r="BZ34" i="5" s="1"/>
  <c r="BX187" i="5"/>
  <c r="BB123" i="5"/>
  <c r="BC130" i="5"/>
  <c r="BX105" i="5"/>
  <c r="BL73" i="5"/>
  <c r="BN73" i="5"/>
  <c r="BZ73" i="5" s="1"/>
  <c r="BB82" i="5"/>
  <c r="BZ82" i="5" s="1"/>
  <c r="BX82" i="5"/>
  <c r="BO26" i="5"/>
  <c r="BO115" i="5"/>
  <c r="BC42" i="5"/>
  <c r="BN186" i="5"/>
  <c r="BB122" i="5"/>
  <c r="BL50" i="5"/>
  <c r="BX75" i="5"/>
  <c r="CB178" i="5"/>
  <c r="BO143" i="5"/>
  <c r="BX72" i="5"/>
  <c r="BL67" i="5"/>
  <c r="BE209" i="5"/>
  <c r="BE210" i="5" s="1"/>
  <c r="BQ209" i="5"/>
  <c r="BQ210" i="5" s="1"/>
  <c r="BY209" i="5"/>
  <c r="BY210" i="5" s="1"/>
  <c r="CA209" i="5"/>
  <c r="CA210" i="5" s="1"/>
  <c r="BN65" i="5"/>
  <c r="BZ65" i="5" s="1"/>
  <c r="BC33" i="5"/>
  <c r="BB134" i="5"/>
  <c r="BZ134" i="5" s="1"/>
  <c r="BB149" i="5"/>
  <c r="BZ149" i="5" s="1"/>
  <c r="BL80" i="5"/>
  <c r="BL148" i="5"/>
  <c r="CB148" i="5"/>
  <c r="BX23" i="5"/>
  <c r="BX31" i="5"/>
  <c r="BX129" i="5"/>
  <c r="BC56" i="5"/>
  <c r="BN29" i="5"/>
  <c r="BL32" i="5"/>
  <c r="BN190" i="5"/>
  <c r="BL126" i="5"/>
  <c r="BL205" i="5"/>
  <c r="BL121" i="5"/>
  <c r="BN121" i="5"/>
  <c r="BZ121" i="5" s="1"/>
  <c r="BB147" i="5"/>
  <c r="BZ147" i="5" s="1"/>
  <c r="BC86" i="5"/>
  <c r="BX13" i="5"/>
  <c r="BB112" i="5"/>
  <c r="BZ112" i="5" s="1"/>
  <c r="BB38" i="5"/>
  <c r="BZ38" i="5" s="1"/>
  <c r="BC183" i="5"/>
  <c r="BB46" i="5"/>
  <c r="BZ46" i="5" s="1"/>
  <c r="BB36" i="5"/>
  <c r="BL189" i="5"/>
  <c r="CB125" i="5"/>
  <c r="BO53" i="5"/>
  <c r="BB57" i="5"/>
  <c r="BZ57" i="5" s="1"/>
  <c r="BO182" i="5"/>
  <c r="BL45" i="5"/>
  <c r="BN196" i="5"/>
  <c r="BZ196" i="5" s="1"/>
  <c r="BB61" i="5"/>
  <c r="BZ61" i="5" s="1"/>
  <c r="BO61" i="5"/>
  <c r="BL40" i="5"/>
  <c r="BL98" i="5"/>
  <c r="BX42" i="5"/>
  <c r="BX3" i="5"/>
  <c r="BC206" i="5"/>
  <c r="BX157" i="5"/>
  <c r="BX16" i="5"/>
  <c r="BC114" i="5"/>
  <c r="BX114" i="5"/>
  <c r="BT209" i="5"/>
  <c r="BT210" i="5" s="1"/>
  <c r="BJ209" i="5"/>
  <c r="BJ210" i="5" s="1"/>
  <c r="BX63" i="5"/>
  <c r="BX149" i="5"/>
  <c r="BX80" i="5"/>
  <c r="CB79" i="5"/>
  <c r="BC31" i="5"/>
  <c r="BL31" i="5"/>
  <c r="BL193" i="5"/>
  <c r="BC64" i="5"/>
  <c r="CB103" i="5"/>
  <c r="CB29" i="5"/>
  <c r="BL110" i="5"/>
  <c r="BX141" i="5"/>
  <c r="BC71" i="5"/>
  <c r="BX71" i="5"/>
  <c r="BX204" i="5"/>
  <c r="BN204" i="5"/>
  <c r="BZ204" i="5" s="1"/>
  <c r="BX87" i="5"/>
  <c r="BL162" i="5"/>
  <c r="CB22" i="5"/>
  <c r="BX22" i="5"/>
  <c r="BX185" i="5"/>
  <c r="BO185" i="5"/>
  <c r="BO191" i="5"/>
  <c r="BL133" i="5"/>
  <c r="BB62" i="5"/>
  <c r="BZ62" i="5" s="1"/>
  <c r="BL132" i="5"/>
  <c r="CB132" i="5"/>
  <c r="BN39" i="5"/>
  <c r="BZ39" i="5" s="1"/>
  <c r="BL111" i="5"/>
  <c r="BN119" i="5"/>
  <c r="BZ119" i="5" s="1"/>
  <c r="BL174" i="5"/>
  <c r="BX189" i="5"/>
  <c r="BX53" i="5"/>
  <c r="BX52" i="5"/>
  <c r="BX203" i="5"/>
  <c r="BB69" i="5"/>
  <c r="BZ69" i="5" s="1"/>
  <c r="BO45" i="5"/>
  <c r="BX197" i="5"/>
  <c r="BC68" i="5"/>
  <c r="BL167" i="5"/>
  <c r="BL153" i="5"/>
  <c r="BX153" i="5"/>
  <c r="BX12" i="5"/>
  <c r="BX19" i="5"/>
  <c r="BO91" i="5"/>
  <c r="BO173" i="5"/>
  <c r="CB51" i="5"/>
  <c r="BX41" i="5"/>
  <c r="BL82" i="5"/>
  <c r="BL42" i="5"/>
  <c r="BN3" i="5"/>
  <c r="BZ3" i="5" s="1"/>
  <c r="BL151" i="5"/>
  <c r="BX137" i="5"/>
  <c r="BX143" i="5"/>
  <c r="CB142" i="5"/>
  <c r="BC72" i="5"/>
  <c r="AV209" i="5"/>
  <c r="AV210" i="5" s="1"/>
  <c r="BD209" i="5"/>
  <c r="BD210" i="5" s="1"/>
  <c r="BC2" i="5"/>
  <c r="BC209" i="5" s="1"/>
  <c r="BC210" i="5" s="1"/>
  <c r="BL2" i="5"/>
  <c r="BI209" i="5"/>
  <c r="BI210" i="5" s="1"/>
  <c r="CF209" i="5"/>
  <c r="CF210" i="5" s="1"/>
  <c r="BX97" i="5"/>
  <c r="BO80" i="5"/>
  <c r="CB31" i="5"/>
  <c r="BN193" i="5"/>
  <c r="BZ193" i="5" s="1"/>
  <c r="BL135" i="5"/>
  <c r="BO29" i="5"/>
  <c r="BN10" i="5"/>
  <c r="BN32" i="5"/>
  <c r="BZ32" i="5" s="1"/>
  <c r="BL190" i="5"/>
  <c r="BL247" i="5" s="1"/>
  <c r="BL248" i="5" s="1"/>
  <c r="BL54" i="5"/>
  <c r="BC205" i="5"/>
  <c r="BX162" i="5"/>
  <c r="BX95" i="5"/>
  <c r="BO121" i="5"/>
  <c r="BB184" i="5"/>
  <c r="BZ184" i="5" s="1"/>
  <c r="BL55" i="5"/>
  <c r="BN154" i="5"/>
  <c r="BZ154" i="5" s="1"/>
  <c r="BL13" i="5"/>
  <c r="BO13" i="5"/>
  <c r="BN183" i="5"/>
  <c r="BX119" i="5"/>
  <c r="BB189" i="5"/>
  <c r="BZ189" i="5" s="1"/>
  <c r="BO124" i="5"/>
  <c r="CB69" i="5"/>
  <c r="BL102" i="5"/>
  <c r="BL81" i="5"/>
  <c r="BX116" i="5"/>
  <c r="BB12" i="5"/>
  <c r="BZ12" i="5" s="1"/>
  <c r="BL159" i="5"/>
  <c r="BO92" i="5"/>
  <c r="BL136" i="5"/>
  <c r="BL108" i="5"/>
  <c r="BN172" i="5"/>
  <c r="BZ172" i="5" s="1"/>
  <c r="BO187" i="5"/>
  <c r="BL51" i="5"/>
  <c r="BN130" i="5"/>
  <c r="BZ130" i="5" s="1"/>
  <c r="BL41" i="5"/>
  <c r="BL150" i="5"/>
  <c r="BO179" i="5"/>
  <c r="BX115" i="5"/>
  <c r="BB50" i="5"/>
  <c r="BZ50" i="5" s="1"/>
  <c r="BX50" i="5"/>
  <c r="BL145" i="5"/>
  <c r="BL75" i="5"/>
  <c r="BX83" i="5"/>
  <c r="BL157" i="5"/>
  <c r="BN90" i="5"/>
  <c r="BL16" i="5"/>
  <c r="BO16" i="5"/>
  <c r="BB156" i="5"/>
  <c r="BZ156" i="5" s="1"/>
  <c r="CB114" i="5"/>
  <c r="BX67" i="5"/>
  <c r="AU209" i="5"/>
  <c r="AU210" i="5" s="1"/>
  <c r="BM209" i="5"/>
  <c r="BM210" i="5" s="1"/>
  <c r="BN2" i="5"/>
  <c r="CK209" i="5"/>
  <c r="CK210" i="5" s="1"/>
  <c r="BO97" i="5"/>
  <c r="BL65" i="5"/>
  <c r="BL198" i="5"/>
  <c r="BL149" i="5"/>
  <c r="BB80" i="5"/>
  <c r="BZ80" i="5" s="1"/>
  <c r="BN7" i="5"/>
  <c r="BB163" i="5"/>
  <c r="BO104" i="5"/>
  <c r="BL129" i="5"/>
  <c r="BL128" i="5"/>
  <c r="BL56" i="5"/>
  <c r="CB32" i="5"/>
  <c r="BX25" i="5"/>
  <c r="BB54" i="5"/>
  <c r="BZ54" i="5" s="1"/>
  <c r="BX205" i="5"/>
  <c r="BL141" i="5"/>
  <c r="BL71" i="5"/>
  <c r="BL70" i="5"/>
  <c r="BL120" i="5"/>
  <c r="BX132" i="5"/>
  <c r="BB78" i="5"/>
  <c r="BZ78" i="5" s="1"/>
  <c r="BX154" i="5"/>
  <c r="BC46" i="5"/>
  <c r="BB174" i="5"/>
  <c r="BZ174" i="5" s="1"/>
  <c r="BO36" i="5"/>
  <c r="BL53" i="5"/>
  <c r="BX57" i="5"/>
  <c r="BB118" i="5"/>
  <c r="BZ118" i="5" s="1"/>
  <c r="CB118" i="5"/>
  <c r="BX118" i="5"/>
  <c r="BX196" i="5"/>
  <c r="BL49" i="5"/>
  <c r="BL116" i="5"/>
  <c r="BL195" i="5"/>
  <c r="BX60" i="5"/>
  <c r="BX138" i="5"/>
  <c r="CB94" i="5"/>
  <c r="BL160" i="5"/>
  <c r="BX93" i="5"/>
  <c r="BX101" i="5"/>
  <c r="CB85" i="5"/>
  <c r="BL152" i="5"/>
  <c r="BB84" i="5"/>
  <c r="BZ84" i="5" s="1"/>
  <c r="BX84" i="5"/>
  <c r="BX172" i="5"/>
  <c r="BL107" i="5"/>
  <c r="CB187" i="5"/>
  <c r="BX59" i="5"/>
  <c r="BB99" i="5"/>
  <c r="BL26" i="5"/>
  <c r="CB98" i="5"/>
  <c r="BL83" i="5"/>
  <c r="BL72" i="5"/>
  <c r="BA209" i="5"/>
  <c r="BA210" i="5" s="1"/>
  <c r="BO2" i="5"/>
  <c r="BW209" i="5"/>
  <c r="BW210" i="5" s="1"/>
  <c r="BV209" i="5"/>
  <c r="BV210" i="5" s="1"/>
  <c r="CI209" i="5"/>
  <c r="CI210" i="5" s="1"/>
  <c r="CB198" i="5"/>
  <c r="BX198" i="5"/>
  <c r="BL79" i="5"/>
  <c r="BL23" i="5"/>
  <c r="BB192" i="5"/>
  <c r="BX56" i="5"/>
  <c r="BX103" i="5"/>
  <c r="BL25" i="5"/>
  <c r="BL87" i="5"/>
  <c r="CB14" i="5"/>
  <c r="BX14" i="5"/>
  <c r="BX121" i="5"/>
  <c r="BL48" i="5"/>
  <c r="BX184" i="5"/>
  <c r="BX133" i="5"/>
  <c r="BC78" i="5"/>
  <c r="BL112" i="5"/>
  <c r="BX39" i="5"/>
  <c r="BN125" i="5"/>
  <c r="BZ125" i="5" s="1"/>
  <c r="BL203" i="5"/>
  <c r="BX173" i="5"/>
  <c r="BX26" i="5"/>
  <c r="BX145" i="5"/>
  <c r="BX178" i="5"/>
  <c r="CB157" i="5"/>
  <c r="BP209" i="5"/>
  <c r="BP210" i="5" s="1"/>
  <c r="CB2" i="5"/>
  <c r="CC209" i="5"/>
  <c r="CC210" i="5" s="1"/>
  <c r="BL134" i="5"/>
  <c r="BL63" i="5"/>
  <c r="BL185" i="5"/>
  <c r="BX120" i="5"/>
  <c r="BL147" i="5"/>
  <c r="BX111" i="5"/>
  <c r="BL182" i="5"/>
  <c r="BL61" i="5"/>
  <c r="BX61" i="5"/>
  <c r="AB10" i="9"/>
  <c r="G116" i="10" l="1"/>
  <c r="AV282" i="5"/>
  <c r="AY282" i="5"/>
  <c r="AW277" i="5"/>
  <c r="AZ268" i="5"/>
  <c r="AZ280" i="5"/>
  <c r="AZ271" i="5"/>
  <c r="AZ283" i="5"/>
  <c r="AZ284" i="5" s="1"/>
  <c r="AZ278" i="5"/>
  <c r="AZ281" i="5"/>
  <c r="AZ270" i="5"/>
  <c r="AZ275" i="5"/>
  <c r="AZ276" i="5" s="1"/>
  <c r="AZ266" i="5"/>
  <c r="AZ267" i="5" s="1"/>
  <c r="AZ277" i="5"/>
  <c r="AZ272" i="5"/>
  <c r="AZ273" i="5"/>
  <c r="AW278" i="5"/>
  <c r="AW280" i="5"/>
  <c r="AW275" i="5"/>
  <c r="AW276" i="5" s="1"/>
  <c r="AW281" i="5"/>
  <c r="AV279" i="5"/>
  <c r="AV269" i="5"/>
  <c r="AX280" i="5"/>
  <c r="J22" i="11" s="1"/>
  <c r="AX281" i="5"/>
  <c r="J23" i="11" s="1"/>
  <c r="AX270" i="5"/>
  <c r="J12" i="11" s="1"/>
  <c r="AX266" i="5"/>
  <c r="AX283" i="5"/>
  <c r="AX271" i="5"/>
  <c r="J13" i="11" s="1"/>
  <c r="AX272" i="5"/>
  <c r="J14" i="11" s="1"/>
  <c r="AX278" i="5"/>
  <c r="J20" i="11" s="1"/>
  <c r="AX277" i="5"/>
  <c r="J19" i="11" s="1"/>
  <c r="AX275" i="5"/>
  <c r="AX273" i="5"/>
  <c r="J15" i="11" s="1"/>
  <c r="AX268" i="5"/>
  <c r="AW273" i="5"/>
  <c r="AW266" i="5"/>
  <c r="AW267" i="5" s="1"/>
  <c r="AW270" i="5"/>
  <c r="AW283" i="5"/>
  <c r="AW284" i="5" s="1"/>
  <c r="AV274" i="5"/>
  <c r="AW272" i="5"/>
  <c r="AW271" i="5"/>
  <c r="AW268" i="5"/>
  <c r="AW269" i="5" s="1"/>
  <c r="AY279" i="5"/>
  <c r="AY274" i="5"/>
  <c r="BX164" i="5"/>
  <c r="BX229" i="5" s="1"/>
  <c r="BX230" i="5" s="1"/>
  <c r="CB164" i="5"/>
  <c r="CB229" i="5" s="1"/>
  <c r="CB230" i="5" s="1"/>
  <c r="E37" i="10"/>
  <c r="CB144" i="5"/>
  <c r="CB227" i="5" s="1"/>
  <c r="CB201" i="5"/>
  <c r="CB257" i="5" s="1"/>
  <c r="CB258" i="5" s="1"/>
  <c r="BX201" i="5"/>
  <c r="BX257" i="5" s="1"/>
  <c r="BX258" i="5" s="1"/>
  <c r="BX192" i="5"/>
  <c r="BX253" i="5" s="1"/>
  <c r="BX254" i="5" s="1"/>
  <c r="CB169" i="5"/>
  <c r="CB242" i="5" s="1"/>
  <c r="CB243" i="5" s="1"/>
  <c r="CB192" i="5"/>
  <c r="CB253" i="5" s="1"/>
  <c r="CB254" i="5" s="1"/>
  <c r="BO247" i="5"/>
  <c r="BO248" i="5" s="1"/>
  <c r="G15" i="29"/>
  <c r="G16" i="29" s="1"/>
  <c r="CB194" i="5"/>
  <c r="CB255" i="5" s="1"/>
  <c r="CB256" i="5" s="1"/>
  <c r="CB127" i="5"/>
  <c r="CB226" i="5" s="1"/>
  <c r="BO229" i="5"/>
  <c r="BO230" i="5" s="1"/>
  <c r="K10" i="32"/>
  <c r="I169" i="10"/>
  <c r="G10" i="32"/>
  <c r="E169" i="10"/>
  <c r="D172" i="10"/>
  <c r="D175" i="10" s="1"/>
  <c r="G12" i="32"/>
  <c r="E171" i="10"/>
  <c r="AA39" i="32"/>
  <c r="J39" i="32"/>
  <c r="L12" i="32"/>
  <c r="J171" i="10"/>
  <c r="M12" i="32"/>
  <c r="M40" i="32" s="1"/>
  <c r="K171" i="10"/>
  <c r="I12" i="32"/>
  <c r="I40" i="32" s="1"/>
  <c r="G171" i="10"/>
  <c r="F38" i="32"/>
  <c r="F41" i="32" s="1"/>
  <c r="F13" i="32"/>
  <c r="F16" i="32" s="1"/>
  <c r="E147" i="10"/>
  <c r="E114" i="10"/>
  <c r="E160" i="10"/>
  <c r="G12" i="31"/>
  <c r="I12" i="31"/>
  <c r="I40" i="31" s="1"/>
  <c r="G160" i="10"/>
  <c r="BC257" i="5"/>
  <c r="BC258" i="5" s="1"/>
  <c r="M12" i="31"/>
  <c r="K160" i="10"/>
  <c r="BL257" i="5"/>
  <c r="BL258" i="5" s="1"/>
  <c r="AA39" i="31"/>
  <c r="J39" i="31"/>
  <c r="L12" i="31"/>
  <c r="J160" i="10"/>
  <c r="F38" i="31"/>
  <c r="F41" i="31" s="1"/>
  <c r="F13" i="31"/>
  <c r="F16" i="31" s="1"/>
  <c r="I158" i="10"/>
  <c r="K10" i="31"/>
  <c r="BZ201" i="5"/>
  <c r="BB257" i="5"/>
  <c r="BB258" i="5" s="1"/>
  <c r="BO257" i="5"/>
  <c r="BO258" i="5" s="1"/>
  <c r="G10" i="31"/>
  <c r="E158" i="10"/>
  <c r="D161" i="10"/>
  <c r="D164" i="10" s="1"/>
  <c r="BN257" i="5"/>
  <c r="BN258" i="5" s="1"/>
  <c r="J39" i="30"/>
  <c r="BN255" i="5"/>
  <c r="BN256" i="5" s="1"/>
  <c r="BX255" i="5"/>
  <c r="BX256" i="5" s="1"/>
  <c r="BL255" i="5"/>
  <c r="BL256" i="5" s="1"/>
  <c r="BZ255" i="5"/>
  <c r="BZ256" i="5" s="1"/>
  <c r="I51" i="29"/>
  <c r="I43" i="29" s="1"/>
  <c r="F38" i="30"/>
  <c r="F41" i="30" s="1"/>
  <c r="F13" i="30"/>
  <c r="F16" i="30" s="1"/>
  <c r="M12" i="30"/>
  <c r="M40" i="30" s="1"/>
  <c r="K149" i="10"/>
  <c r="I147" i="10"/>
  <c r="K10" i="30"/>
  <c r="BO255" i="5"/>
  <c r="BO256" i="5" s="1"/>
  <c r="H12" i="30"/>
  <c r="H40" i="30" s="1"/>
  <c r="F149" i="10"/>
  <c r="E149" i="10"/>
  <c r="G12" i="30"/>
  <c r="G13" i="30" s="1"/>
  <c r="AA45" i="30"/>
  <c r="AC45" i="30" s="1"/>
  <c r="AC39" i="30"/>
  <c r="BC255" i="5"/>
  <c r="BC256" i="5" s="1"/>
  <c r="L12" i="30"/>
  <c r="J149" i="10"/>
  <c r="D150" i="10"/>
  <c r="D153" i="10" s="1"/>
  <c r="I12" i="30"/>
  <c r="I40" i="30" s="1"/>
  <c r="G149" i="10"/>
  <c r="BB255" i="5"/>
  <c r="BB256" i="5" s="1"/>
  <c r="AA10" i="30"/>
  <c r="G38" i="30"/>
  <c r="G51" i="29"/>
  <c r="J51" i="29" s="1"/>
  <c r="J52" i="29" s="1"/>
  <c r="J56" i="29" s="1"/>
  <c r="J60" i="29" s="1"/>
  <c r="J67" i="29" s="1"/>
  <c r="K45" i="29" s="1"/>
  <c r="F141" i="10"/>
  <c r="F142" i="10" s="1"/>
  <c r="BL253" i="5"/>
  <c r="BL254" i="5" s="1"/>
  <c r="BN253" i="5"/>
  <c r="BN254" i="5" s="1"/>
  <c r="BZ192" i="5"/>
  <c r="BZ253" i="5" s="1"/>
  <c r="BZ254" i="5" s="1"/>
  <c r="BB253" i="5"/>
  <c r="BB254" i="5" s="1"/>
  <c r="AB44" i="29"/>
  <c r="AC44" i="29" s="1"/>
  <c r="AC38" i="29"/>
  <c r="E142" i="10"/>
  <c r="G141" i="10"/>
  <c r="G142" i="10" s="1"/>
  <c r="H141" i="10"/>
  <c r="H142" i="10" s="1"/>
  <c r="H43" i="29"/>
  <c r="H44" i="29"/>
  <c r="H67" i="29"/>
  <c r="CB109" i="5"/>
  <c r="CB223" i="5" s="1"/>
  <c r="CB224" i="5" s="1"/>
  <c r="K116" i="10"/>
  <c r="L116" i="10" s="1"/>
  <c r="AA39" i="27"/>
  <c r="AC39" i="27" s="1"/>
  <c r="BX36" i="5"/>
  <c r="BX218" i="5" s="1"/>
  <c r="BX219" i="5" s="1"/>
  <c r="E116" i="10"/>
  <c r="BX245" i="5"/>
  <c r="BX246" i="5" s="1"/>
  <c r="E130" i="10"/>
  <c r="H130" i="10" s="1"/>
  <c r="H131" i="10" s="1"/>
  <c r="J41" i="28"/>
  <c r="AC39" i="28"/>
  <c r="AA45" i="28"/>
  <c r="AC45" i="28" s="1"/>
  <c r="AC38" i="28"/>
  <c r="AA44" i="28"/>
  <c r="AC44" i="28" s="1"/>
  <c r="H15" i="28"/>
  <c r="H16" i="28" s="1"/>
  <c r="G15" i="28"/>
  <c r="G40" i="27"/>
  <c r="F38" i="27"/>
  <c r="F41" i="27" s="1"/>
  <c r="F13" i="27"/>
  <c r="F16" i="27" s="1"/>
  <c r="BN245" i="5"/>
  <c r="BN246" i="5" s="1"/>
  <c r="K10" i="26"/>
  <c r="I103" i="10"/>
  <c r="E103" i="10"/>
  <c r="G10" i="26"/>
  <c r="G114" i="10"/>
  <c r="G117" i="10" s="1"/>
  <c r="I10" i="27"/>
  <c r="G12" i="26"/>
  <c r="G40" i="26" s="1"/>
  <c r="E105" i="10"/>
  <c r="F114" i="10"/>
  <c r="H10" i="27"/>
  <c r="K10" i="27"/>
  <c r="I114" i="10"/>
  <c r="AA39" i="26"/>
  <c r="J39" i="26"/>
  <c r="L40" i="27"/>
  <c r="N40" i="27" s="1"/>
  <c r="N12" i="27"/>
  <c r="F13" i="26"/>
  <c r="F16" i="26" s="1"/>
  <c r="F38" i="26"/>
  <c r="F41" i="26" s="1"/>
  <c r="G38" i="27"/>
  <c r="G13" i="27"/>
  <c r="AA10" i="27"/>
  <c r="F116" i="10"/>
  <c r="H12" i="27"/>
  <c r="H40" i="27" s="1"/>
  <c r="D106" i="10"/>
  <c r="D109" i="10" s="1"/>
  <c r="D117" i="10"/>
  <c r="D120" i="10" s="1"/>
  <c r="BL245" i="5"/>
  <c r="BL246" i="5" s="1"/>
  <c r="BO245" i="5"/>
  <c r="BO246" i="5" s="1"/>
  <c r="G105" i="10"/>
  <c r="I12" i="26"/>
  <c r="I40" i="26" s="1"/>
  <c r="M12" i="26"/>
  <c r="M40" i="26" s="1"/>
  <c r="K105" i="10"/>
  <c r="BZ190" i="5"/>
  <c r="BZ247" i="5" s="1"/>
  <c r="BZ248" i="5" s="1"/>
  <c r="BN247" i="5"/>
  <c r="BN248" i="5" s="1"/>
  <c r="L12" i="26"/>
  <c r="J105" i="10"/>
  <c r="CB245" i="5"/>
  <c r="CB246" i="5" s="1"/>
  <c r="BB245" i="5"/>
  <c r="BB246" i="5" s="1"/>
  <c r="BC245" i="5"/>
  <c r="BC246" i="5" s="1"/>
  <c r="L12" i="25"/>
  <c r="J94" i="10"/>
  <c r="M12" i="25"/>
  <c r="M40" i="25" s="1"/>
  <c r="K94" i="10"/>
  <c r="E94" i="10"/>
  <c r="G12" i="25"/>
  <c r="F38" i="25"/>
  <c r="F41" i="25" s="1"/>
  <c r="F13" i="25"/>
  <c r="F16" i="25" s="1"/>
  <c r="I92" i="10"/>
  <c r="K10" i="25"/>
  <c r="I12" i="25"/>
  <c r="I40" i="25" s="1"/>
  <c r="G94" i="10"/>
  <c r="G10" i="25"/>
  <c r="E92" i="10"/>
  <c r="AA39" i="25"/>
  <c r="J39" i="25"/>
  <c r="D95" i="10"/>
  <c r="D98" i="10" s="1"/>
  <c r="BG228" i="5"/>
  <c r="BW228" i="5"/>
  <c r="AY228" i="5"/>
  <c r="G10" i="18" s="1"/>
  <c r="BZ242" i="5"/>
  <c r="BZ243" i="5" s="1"/>
  <c r="BL242" i="5"/>
  <c r="BL243" i="5" s="1"/>
  <c r="BX242" i="5"/>
  <c r="BX243" i="5" s="1"/>
  <c r="BC242" i="5"/>
  <c r="BC243" i="5" s="1"/>
  <c r="BB242" i="5"/>
  <c r="BB243" i="5" s="1"/>
  <c r="BO242" i="5"/>
  <c r="BO243" i="5" s="1"/>
  <c r="BN242" i="5"/>
  <c r="BN243" i="5" s="1"/>
  <c r="BA228" i="5"/>
  <c r="K10" i="18" s="1"/>
  <c r="J39" i="10"/>
  <c r="BT228" i="5"/>
  <c r="BH228" i="5"/>
  <c r="BM228" i="5"/>
  <c r="I12" i="18" s="1"/>
  <c r="I40" i="18" s="1"/>
  <c r="J11" i="18"/>
  <c r="CD228" i="5"/>
  <c r="CF228" i="5"/>
  <c r="BF228" i="5"/>
  <c r="BP228" i="5"/>
  <c r="BR228" i="5"/>
  <c r="AZ228" i="5"/>
  <c r="E72" i="10" s="1"/>
  <c r="BE228" i="5"/>
  <c r="BS228" i="5"/>
  <c r="BU228" i="5"/>
  <c r="CC228" i="5"/>
  <c r="BD228" i="5"/>
  <c r="BK228" i="5"/>
  <c r="BY228" i="5"/>
  <c r="BI228" i="5"/>
  <c r="CE228" i="5"/>
  <c r="AB45" i="18"/>
  <c r="BQ228" i="5"/>
  <c r="AU228" i="5"/>
  <c r="BJ228" i="5"/>
  <c r="CA228" i="5"/>
  <c r="L12" i="18" s="1"/>
  <c r="AV228" i="5"/>
  <c r="BC229" i="5"/>
  <c r="BC230" i="5" s="1"/>
  <c r="F83" i="10" s="1"/>
  <c r="D84" i="10"/>
  <c r="D87" i="10" s="1"/>
  <c r="G83" i="10"/>
  <c r="I12" i="19"/>
  <c r="I40" i="19" s="1"/>
  <c r="I81" i="10"/>
  <c r="K10" i="19"/>
  <c r="M12" i="19"/>
  <c r="M40" i="19" s="1"/>
  <c r="K83" i="10"/>
  <c r="AA39" i="18"/>
  <c r="AC39" i="18" s="1"/>
  <c r="J39" i="18"/>
  <c r="G10" i="19"/>
  <c r="E81" i="10"/>
  <c r="F10" i="18"/>
  <c r="D70" i="10"/>
  <c r="BB229" i="5"/>
  <c r="BB230" i="5" s="1"/>
  <c r="L12" i="19"/>
  <c r="J83" i="10"/>
  <c r="F12" i="18"/>
  <c r="F40" i="18" s="1"/>
  <c r="D72" i="10"/>
  <c r="F38" i="19"/>
  <c r="F41" i="19" s="1"/>
  <c r="F13" i="19"/>
  <c r="F16" i="19" s="1"/>
  <c r="G12" i="19"/>
  <c r="E83" i="10"/>
  <c r="AC39" i="19"/>
  <c r="AA45" i="19"/>
  <c r="AC45" i="19" s="1"/>
  <c r="BL229" i="5"/>
  <c r="BL230" i="5" s="1"/>
  <c r="CI228" i="5"/>
  <c r="BZ164" i="5"/>
  <c r="BN229" i="5"/>
  <c r="BN230" i="5" s="1"/>
  <c r="M12" i="18"/>
  <c r="M40" i="18" s="1"/>
  <c r="K72" i="10"/>
  <c r="BV228" i="5"/>
  <c r="BL227" i="5"/>
  <c r="BX227" i="5"/>
  <c r="BZ227" i="5"/>
  <c r="BC227" i="5"/>
  <c r="BB227" i="5"/>
  <c r="BN227" i="5"/>
  <c r="BO227" i="5"/>
  <c r="D62" i="10"/>
  <c r="D65" i="10" s="1"/>
  <c r="BX226" i="5"/>
  <c r="BZ226" i="5"/>
  <c r="BL226" i="5"/>
  <c r="BB226" i="5"/>
  <c r="BO226" i="5"/>
  <c r="BN226" i="5"/>
  <c r="BC226" i="5"/>
  <c r="BL223" i="5"/>
  <c r="BL224" i="5" s="1"/>
  <c r="BX223" i="5"/>
  <c r="BX224" i="5" s="1"/>
  <c r="BZ223" i="5"/>
  <c r="BZ224" i="5" s="1"/>
  <c r="E39" i="10"/>
  <c r="CB30" i="5"/>
  <c r="CB216" i="5" s="1"/>
  <c r="CB217" i="5" s="1"/>
  <c r="I12" i="17"/>
  <c r="G61" i="10"/>
  <c r="BN223" i="5"/>
  <c r="BN224" i="5" s="1"/>
  <c r="E61" i="10"/>
  <c r="G12" i="17"/>
  <c r="G40" i="17" s="1"/>
  <c r="BC223" i="5"/>
  <c r="BC224" i="5" s="1"/>
  <c r="F13" i="17"/>
  <c r="F16" i="17" s="1"/>
  <c r="F38" i="17"/>
  <c r="F41" i="17" s="1"/>
  <c r="I59" i="10"/>
  <c r="K10" i="17"/>
  <c r="BB223" i="5"/>
  <c r="BB224" i="5" s="1"/>
  <c r="AA39" i="17"/>
  <c r="J39" i="17"/>
  <c r="BO223" i="5"/>
  <c r="BO224" i="5" s="1"/>
  <c r="G10" i="17"/>
  <c r="E59" i="10"/>
  <c r="M12" i="17"/>
  <c r="M40" i="17" s="1"/>
  <c r="K61" i="10"/>
  <c r="L12" i="17"/>
  <c r="J61" i="10"/>
  <c r="BX64" i="5"/>
  <c r="BX221" i="5" s="1"/>
  <c r="BX222" i="5" s="1"/>
  <c r="CB64" i="5"/>
  <c r="K39" i="10"/>
  <c r="BO221" i="5"/>
  <c r="BO222" i="5" s="1"/>
  <c r="CB36" i="5"/>
  <c r="CB218" i="5" s="1"/>
  <c r="CB219" i="5" s="1"/>
  <c r="BC221" i="5"/>
  <c r="BC222" i="5" s="1"/>
  <c r="BZ64" i="5"/>
  <c r="BZ221" i="5" s="1"/>
  <c r="BZ222" i="5" s="1"/>
  <c r="BN221" i="5"/>
  <c r="BN222" i="5" s="1"/>
  <c r="BL221" i="5"/>
  <c r="BL222" i="5" s="1"/>
  <c r="CB221" i="5"/>
  <c r="CB222" i="5" s="1"/>
  <c r="BB221" i="5"/>
  <c r="BB222" i="5" s="1"/>
  <c r="D51" i="10"/>
  <c r="D54" i="10" s="1"/>
  <c r="I48" i="10"/>
  <c r="K10" i="16"/>
  <c r="G10" i="16"/>
  <c r="E48" i="10"/>
  <c r="AA39" i="16"/>
  <c r="J39" i="16"/>
  <c r="I12" i="16"/>
  <c r="I40" i="16" s="1"/>
  <c r="G50" i="10"/>
  <c r="E50" i="10"/>
  <c r="G12" i="16"/>
  <c r="M12" i="16"/>
  <c r="M40" i="16" s="1"/>
  <c r="K50" i="10"/>
  <c r="L12" i="16"/>
  <c r="J50" i="10"/>
  <c r="F38" i="16"/>
  <c r="F41" i="16" s="1"/>
  <c r="F13" i="16"/>
  <c r="F16" i="16" s="1"/>
  <c r="BO218" i="5"/>
  <c r="BO219" i="5" s="1"/>
  <c r="BZ36" i="5"/>
  <c r="BZ218" i="5" s="1"/>
  <c r="BZ219" i="5" s="1"/>
  <c r="BB218" i="5"/>
  <c r="BB219" i="5" s="1"/>
  <c r="BN218" i="5"/>
  <c r="BN219" i="5" s="1"/>
  <c r="BL218" i="5"/>
  <c r="BL219" i="5" s="1"/>
  <c r="BC218" i="5"/>
  <c r="BC219" i="5" s="1"/>
  <c r="G39" i="10"/>
  <c r="D40" i="10"/>
  <c r="D43" i="10" s="1"/>
  <c r="D29" i="10"/>
  <c r="D32" i="10" s="1"/>
  <c r="AC39" i="15"/>
  <c r="AA45" i="15"/>
  <c r="AC45" i="15" s="1"/>
  <c r="BL216" i="5"/>
  <c r="BL217" i="5" s="1"/>
  <c r="E28" i="10"/>
  <c r="G12" i="14"/>
  <c r="G40" i="14" s="1"/>
  <c r="G10" i="14"/>
  <c r="E26" i="10"/>
  <c r="BC216" i="5"/>
  <c r="BC217" i="5" s="1"/>
  <c r="G40" i="15"/>
  <c r="N12" i="15"/>
  <c r="L40" i="15"/>
  <c r="N40" i="15" s="1"/>
  <c r="AA39" i="14"/>
  <c r="J39" i="14"/>
  <c r="BX216" i="5"/>
  <c r="BX217" i="5" s="1"/>
  <c r="F13" i="15"/>
  <c r="F16" i="15" s="1"/>
  <c r="F40" i="15"/>
  <c r="F41" i="15" s="1"/>
  <c r="AA10" i="15"/>
  <c r="G13" i="15"/>
  <c r="G38" i="15"/>
  <c r="BZ216" i="5"/>
  <c r="BZ217" i="5" s="1"/>
  <c r="K10" i="14"/>
  <c r="I26" i="10"/>
  <c r="K10" i="15"/>
  <c r="I37" i="10"/>
  <c r="F38" i="14"/>
  <c r="F41" i="14" s="1"/>
  <c r="F13" i="14"/>
  <c r="F16" i="14" s="1"/>
  <c r="G28" i="10"/>
  <c r="I12" i="14"/>
  <c r="I40" i="14" s="1"/>
  <c r="K28" i="10"/>
  <c r="M12" i="14"/>
  <c r="M40" i="14" s="1"/>
  <c r="BN216" i="5"/>
  <c r="BN217" i="5" s="1"/>
  <c r="J28" i="10"/>
  <c r="L12" i="14"/>
  <c r="BB216" i="5"/>
  <c r="BB217" i="5" s="1"/>
  <c r="CB7" i="5"/>
  <c r="CB211" i="5" s="1"/>
  <c r="CB212" i="5" s="1"/>
  <c r="CB17" i="5"/>
  <c r="CB214" i="5" s="1"/>
  <c r="CB215" i="5" s="1"/>
  <c r="CB209" i="5"/>
  <c r="CB210" i="5" s="1"/>
  <c r="BO209" i="5"/>
  <c r="BO210" i="5" s="1"/>
  <c r="BL214" i="5"/>
  <c r="BL215" i="5" s="1"/>
  <c r="BX214" i="5"/>
  <c r="BX215" i="5" s="1"/>
  <c r="BB214" i="5"/>
  <c r="BB215" i="5" s="1"/>
  <c r="BO214" i="5"/>
  <c r="BO215" i="5" s="1"/>
  <c r="D18" i="10"/>
  <c r="D21" i="10" s="1"/>
  <c r="BC214" i="5"/>
  <c r="BC215" i="5" s="1"/>
  <c r="BN214" i="5"/>
  <c r="BN215" i="5" s="1"/>
  <c r="M12" i="13"/>
  <c r="K17" i="10"/>
  <c r="F38" i="13"/>
  <c r="F41" i="13" s="1"/>
  <c r="F13" i="13"/>
  <c r="F16" i="13" s="1"/>
  <c r="I15" i="10"/>
  <c r="K10" i="13"/>
  <c r="G10" i="13"/>
  <c r="E15" i="10"/>
  <c r="I12" i="13"/>
  <c r="I40" i="13" s="1"/>
  <c r="G17" i="10"/>
  <c r="E17" i="10"/>
  <c r="G12" i="13"/>
  <c r="AA39" i="13"/>
  <c r="AC39" i="13" s="1"/>
  <c r="J39" i="13"/>
  <c r="L12" i="13"/>
  <c r="J17" i="10"/>
  <c r="BN211" i="5"/>
  <c r="BN212" i="5" s="1"/>
  <c r="BL209" i="5"/>
  <c r="BL210" i="5" s="1"/>
  <c r="G4" i="10" s="1"/>
  <c r="BL211" i="5"/>
  <c r="BL212" i="5" s="1"/>
  <c r="BX211" i="5"/>
  <c r="BX212" i="5" s="1"/>
  <c r="BZ211" i="5"/>
  <c r="BZ212" i="5" s="1"/>
  <c r="H10" i="12"/>
  <c r="H38" i="12" s="1"/>
  <c r="F4" i="10"/>
  <c r="BO211" i="5"/>
  <c r="BO212" i="5" s="1"/>
  <c r="BB211" i="5"/>
  <c r="BB212" i="5" s="1"/>
  <c r="K6" i="10"/>
  <c r="M12" i="12"/>
  <c r="I4" i="10"/>
  <c r="K10" i="12"/>
  <c r="BZ21" i="5"/>
  <c r="BZ214" i="5" s="1"/>
  <c r="BZ215" i="5" s="1"/>
  <c r="F38" i="12"/>
  <c r="F41" i="12" s="1"/>
  <c r="F13" i="12"/>
  <c r="F16" i="12" s="1"/>
  <c r="G6" i="10"/>
  <c r="I12" i="12"/>
  <c r="I40" i="12" s="1"/>
  <c r="E6" i="10"/>
  <c r="G12" i="12"/>
  <c r="F6" i="10"/>
  <c r="H12" i="12"/>
  <c r="BC211" i="5"/>
  <c r="BC212" i="5" s="1"/>
  <c r="AC39" i="12"/>
  <c r="AA45" i="12"/>
  <c r="AC45" i="12" s="1"/>
  <c r="D7" i="10"/>
  <c r="D10" i="10" s="1"/>
  <c r="J6" i="10"/>
  <c r="L12" i="12"/>
  <c r="L40" i="12" s="1"/>
  <c r="G10" i="12"/>
  <c r="E4" i="10"/>
  <c r="BX209" i="5"/>
  <c r="BX210" i="5" s="1"/>
  <c r="BZ180" i="5"/>
  <c r="BZ245" i="5" s="1"/>
  <c r="BZ246" i="5" s="1"/>
  <c r="BZ202" i="5"/>
  <c r="BZ167" i="5"/>
  <c r="BN209" i="5"/>
  <c r="BN210" i="5" s="1"/>
  <c r="BZ2" i="5"/>
  <c r="BZ209" i="5" s="1"/>
  <c r="BZ210" i="5" s="1"/>
  <c r="AA11" i="9"/>
  <c r="AC11" i="9"/>
  <c r="AA10" i="9"/>
  <c r="AX269" i="5" l="1"/>
  <c r="J11" i="11" s="1"/>
  <c r="J10" i="11"/>
  <c r="AX276" i="5"/>
  <c r="J18" i="11" s="1"/>
  <c r="J17" i="11"/>
  <c r="AX284" i="5"/>
  <c r="J26" i="11" s="1"/>
  <c r="J25" i="11"/>
  <c r="AX267" i="5"/>
  <c r="J8" i="11"/>
  <c r="E40" i="10"/>
  <c r="AX274" i="5"/>
  <c r="J16" i="11" s="1"/>
  <c r="AX282" i="5"/>
  <c r="J24" i="11" s="1"/>
  <c r="AW274" i="5"/>
  <c r="BA268" i="5"/>
  <c r="M10" i="11" s="1"/>
  <c r="BA275" i="5"/>
  <c r="AZ269" i="5"/>
  <c r="BA266" i="5"/>
  <c r="BA270" i="5"/>
  <c r="M12" i="11" s="1"/>
  <c r="BA281" i="5"/>
  <c r="M23" i="11" s="1"/>
  <c r="AW282" i="5"/>
  <c r="AZ282" i="5"/>
  <c r="BA271" i="5"/>
  <c r="M13" i="11" s="1"/>
  <c r="BA272" i="5"/>
  <c r="M14" i="11" s="1"/>
  <c r="BA273" i="5"/>
  <c r="M15" i="11" s="1"/>
  <c r="AX279" i="5"/>
  <c r="J21" i="11" s="1"/>
  <c r="AW279" i="5"/>
  <c r="BA277" i="5"/>
  <c r="M19" i="11" s="1"/>
  <c r="BA280" i="5"/>
  <c r="M22" i="11" s="1"/>
  <c r="BA278" i="5"/>
  <c r="M20" i="11" s="1"/>
  <c r="AZ279" i="5"/>
  <c r="BA283" i="5"/>
  <c r="AZ274" i="5"/>
  <c r="BX228" i="5"/>
  <c r="J15" i="29"/>
  <c r="J16" i="29" s="1"/>
  <c r="L16" i="29" s="1"/>
  <c r="I15" i="29"/>
  <c r="I16" i="29" s="1"/>
  <c r="AA45" i="27"/>
  <c r="AC45" i="27" s="1"/>
  <c r="E117" i="10"/>
  <c r="BZ228" i="5"/>
  <c r="L10" i="18" s="1"/>
  <c r="I52" i="29"/>
  <c r="I56" i="29" s="1"/>
  <c r="I60" i="29" s="1"/>
  <c r="I67" i="29" s="1"/>
  <c r="I45" i="29" s="1"/>
  <c r="L171" i="10"/>
  <c r="F44" i="32"/>
  <c r="F43" i="32"/>
  <c r="F45" i="32"/>
  <c r="AC39" i="32"/>
  <c r="AA45" i="32"/>
  <c r="AC45" i="32" s="1"/>
  <c r="G169" i="10"/>
  <c r="G172" i="10" s="1"/>
  <c r="I10" i="32"/>
  <c r="E172" i="10"/>
  <c r="G40" i="32"/>
  <c r="F171" i="10"/>
  <c r="H12" i="32"/>
  <c r="H40" i="32" s="1"/>
  <c r="F169" i="10"/>
  <c r="H10" i="32"/>
  <c r="G38" i="32"/>
  <c r="AA10" i="32"/>
  <c r="G13" i="32"/>
  <c r="L40" i="32"/>
  <c r="N40" i="32" s="1"/>
  <c r="N12" i="32"/>
  <c r="I69" i="29"/>
  <c r="J69" i="29" s="1"/>
  <c r="L160" i="10"/>
  <c r="L10" i="31"/>
  <c r="J158" i="10"/>
  <c r="H12" i="31"/>
  <c r="H40" i="31" s="1"/>
  <c r="F160" i="10"/>
  <c r="H160" i="10" s="1"/>
  <c r="G158" i="10"/>
  <c r="G161" i="10" s="1"/>
  <c r="I10" i="31"/>
  <c r="E161" i="10"/>
  <c r="F43" i="31"/>
  <c r="F44" i="31"/>
  <c r="F45" i="31"/>
  <c r="F158" i="10"/>
  <c r="H10" i="31"/>
  <c r="G38" i="31"/>
  <c r="AA10" i="31"/>
  <c r="G13" i="31"/>
  <c r="M40" i="31"/>
  <c r="L40" i="31"/>
  <c r="N12" i="31"/>
  <c r="BZ257" i="5"/>
  <c r="BZ258" i="5" s="1"/>
  <c r="G40" i="31"/>
  <c r="AA45" i="31"/>
  <c r="AC45" i="31" s="1"/>
  <c r="AC39" i="31"/>
  <c r="H68" i="29"/>
  <c r="J68" i="29" s="1"/>
  <c r="H149" i="10"/>
  <c r="L149" i="10"/>
  <c r="G147" i="10"/>
  <c r="G150" i="10" s="1"/>
  <c r="I10" i="30"/>
  <c r="L40" i="30"/>
  <c r="N40" i="30" s="1"/>
  <c r="N12" i="30"/>
  <c r="E150" i="10"/>
  <c r="F147" i="10"/>
  <c r="F150" i="10" s="1"/>
  <c r="H10" i="30"/>
  <c r="G40" i="30"/>
  <c r="J40" i="30" s="1"/>
  <c r="J12" i="30"/>
  <c r="L10" i="30"/>
  <c r="J147" i="10"/>
  <c r="AA38" i="30"/>
  <c r="F43" i="30"/>
  <c r="F44" i="30"/>
  <c r="F45" i="30"/>
  <c r="G52" i="29"/>
  <c r="G56" i="29" s="1"/>
  <c r="G60" i="29" s="1"/>
  <c r="M72" i="29"/>
  <c r="G72" i="29"/>
  <c r="I72" i="29" s="1"/>
  <c r="J72" i="29" s="1"/>
  <c r="J75" i="29" s="1"/>
  <c r="J80" i="29" s="1"/>
  <c r="G73" i="29"/>
  <c r="O72" i="29"/>
  <c r="G43" i="29"/>
  <c r="J43" i="29" s="1"/>
  <c r="K43" i="29" s="1"/>
  <c r="H45" i="29"/>
  <c r="H75" i="29"/>
  <c r="H80" i="29" s="1"/>
  <c r="H116" i="10"/>
  <c r="G130" i="10"/>
  <c r="G131" i="10" s="1"/>
  <c r="E131" i="10"/>
  <c r="I51" i="28"/>
  <c r="G51" i="28"/>
  <c r="H51" i="28"/>
  <c r="I15" i="28"/>
  <c r="I16" i="28" s="1"/>
  <c r="G16" i="28"/>
  <c r="J15" i="28"/>
  <c r="J16" i="28" s="1"/>
  <c r="H114" i="10"/>
  <c r="E70" i="10"/>
  <c r="E73" i="10" s="1"/>
  <c r="L105" i="10"/>
  <c r="F117" i="10"/>
  <c r="L10" i="27"/>
  <c r="J114" i="10"/>
  <c r="AA38" i="27"/>
  <c r="G41" i="27"/>
  <c r="AC39" i="26"/>
  <c r="AA45" i="26"/>
  <c r="AC45" i="26" s="1"/>
  <c r="J10" i="27"/>
  <c r="I38" i="27"/>
  <c r="I13" i="27"/>
  <c r="F43" i="26"/>
  <c r="F44" i="26"/>
  <c r="F45" i="26"/>
  <c r="G38" i="26"/>
  <c r="AA10" i="26"/>
  <c r="G13" i="26"/>
  <c r="F43" i="27"/>
  <c r="F44" i="27"/>
  <c r="F45" i="27"/>
  <c r="H13" i="27"/>
  <c r="H38" i="27"/>
  <c r="H41" i="27" s="1"/>
  <c r="E106" i="10"/>
  <c r="J12" i="27"/>
  <c r="J40" i="27"/>
  <c r="L10" i="26"/>
  <c r="J103" i="10"/>
  <c r="H12" i="26"/>
  <c r="F105" i="10"/>
  <c r="H10" i="26"/>
  <c r="F103" i="10"/>
  <c r="G103" i="10"/>
  <c r="G106" i="10" s="1"/>
  <c r="I10" i="26"/>
  <c r="L40" i="26"/>
  <c r="N40" i="26" s="1"/>
  <c r="N12" i="26"/>
  <c r="L94" i="10"/>
  <c r="H12" i="25"/>
  <c r="H40" i="25" s="1"/>
  <c r="F94" i="10"/>
  <c r="AC39" i="25"/>
  <c r="AA45" i="25"/>
  <c r="AC45" i="25" s="1"/>
  <c r="F43" i="25"/>
  <c r="F44" i="25"/>
  <c r="F45" i="25"/>
  <c r="G92" i="10"/>
  <c r="G95" i="10" s="1"/>
  <c r="I10" i="25"/>
  <c r="E95" i="10"/>
  <c r="G40" i="25"/>
  <c r="L10" i="25"/>
  <c r="J92" i="10"/>
  <c r="G38" i="25"/>
  <c r="G13" i="25"/>
  <c r="AA10" i="25"/>
  <c r="F92" i="10"/>
  <c r="H10" i="25"/>
  <c r="L40" i="25"/>
  <c r="N40" i="25" s="1"/>
  <c r="N12" i="25"/>
  <c r="BC228" i="5"/>
  <c r="F72" i="10" s="1"/>
  <c r="I70" i="10"/>
  <c r="L39" i="10"/>
  <c r="G72" i="10"/>
  <c r="G12" i="18"/>
  <c r="G40" i="18" s="1"/>
  <c r="BN228" i="5"/>
  <c r="J72" i="10"/>
  <c r="L72" i="10" s="1"/>
  <c r="BB228" i="5"/>
  <c r="F70" i="10" s="1"/>
  <c r="AA45" i="18"/>
  <c r="AC45" i="18" s="1"/>
  <c r="D73" i="10"/>
  <c r="D76" i="10" s="1"/>
  <c r="H12" i="19"/>
  <c r="H40" i="19" s="1"/>
  <c r="G40" i="19"/>
  <c r="L83" i="10"/>
  <c r="F38" i="18"/>
  <c r="F41" i="18" s="1"/>
  <c r="F13" i="18"/>
  <c r="F16" i="18" s="1"/>
  <c r="F43" i="19"/>
  <c r="F44" i="19"/>
  <c r="F45" i="19"/>
  <c r="E84" i="10"/>
  <c r="G38" i="19"/>
  <c r="G13" i="19"/>
  <c r="AA10" i="19"/>
  <c r="CB228" i="5"/>
  <c r="BO228" i="5"/>
  <c r="G38" i="18"/>
  <c r="AA10" i="18"/>
  <c r="G81" i="10"/>
  <c r="G84" i="10" s="1"/>
  <c r="I10" i="19"/>
  <c r="H83" i="10"/>
  <c r="L40" i="19"/>
  <c r="N40" i="19" s="1"/>
  <c r="N12" i="19"/>
  <c r="F81" i="10"/>
  <c r="F84" i="10" s="1"/>
  <c r="H10" i="19"/>
  <c r="BZ229" i="5"/>
  <c r="BZ230" i="5" s="1"/>
  <c r="BL228" i="5"/>
  <c r="N12" i="18"/>
  <c r="L40" i="18"/>
  <c r="F59" i="10"/>
  <c r="H10" i="17"/>
  <c r="AA10" i="17"/>
  <c r="G38" i="17"/>
  <c r="G13" i="17"/>
  <c r="G59" i="10"/>
  <c r="G62" i="10" s="1"/>
  <c r="I10" i="17"/>
  <c r="L61" i="10"/>
  <c r="AC39" i="17"/>
  <c r="AA45" i="17"/>
  <c r="AC45" i="17" s="1"/>
  <c r="L10" i="17"/>
  <c r="J59" i="10"/>
  <c r="L40" i="17"/>
  <c r="N40" i="17" s="1"/>
  <c r="N12" i="17"/>
  <c r="H12" i="17"/>
  <c r="H40" i="17" s="1"/>
  <c r="F61" i="10"/>
  <c r="E62" i="10"/>
  <c r="F43" i="17"/>
  <c r="F44" i="17"/>
  <c r="F45" i="17"/>
  <c r="I40" i="17"/>
  <c r="L50" i="10"/>
  <c r="F43" i="16"/>
  <c r="F44" i="16"/>
  <c r="F45" i="16"/>
  <c r="H12" i="16"/>
  <c r="H40" i="16" s="1"/>
  <c r="F50" i="10"/>
  <c r="G48" i="10"/>
  <c r="G51" i="10" s="1"/>
  <c r="I10" i="16"/>
  <c r="L40" i="16"/>
  <c r="N40" i="16" s="1"/>
  <c r="N12" i="16"/>
  <c r="AC39" i="16"/>
  <c r="AA45" i="16"/>
  <c r="AC45" i="16" s="1"/>
  <c r="E51" i="10"/>
  <c r="AA10" i="16"/>
  <c r="G38" i="16"/>
  <c r="G13" i="16"/>
  <c r="F48" i="10"/>
  <c r="H10" i="16"/>
  <c r="G40" i="16"/>
  <c r="L10" i="16"/>
  <c r="J48" i="10"/>
  <c r="E29" i="10"/>
  <c r="L28" i="10"/>
  <c r="AA38" i="15"/>
  <c r="G41" i="15"/>
  <c r="AC39" i="14"/>
  <c r="AA45" i="14"/>
  <c r="AC45" i="14" s="1"/>
  <c r="AA10" i="14"/>
  <c r="G38" i="14"/>
  <c r="G13" i="14"/>
  <c r="F43" i="15"/>
  <c r="F44" i="15"/>
  <c r="F45" i="15"/>
  <c r="G37" i="10"/>
  <c r="G40" i="10" s="1"/>
  <c r="I10" i="15"/>
  <c r="F37" i="10"/>
  <c r="H10" i="15"/>
  <c r="F43" i="14"/>
  <c r="F44" i="14"/>
  <c r="F45" i="14"/>
  <c r="L10" i="15"/>
  <c r="J37" i="10"/>
  <c r="F39" i="10"/>
  <c r="H39" i="10" s="1"/>
  <c r="H12" i="15"/>
  <c r="H10" i="14"/>
  <c r="F26" i="10"/>
  <c r="N12" i="14"/>
  <c r="L40" i="14"/>
  <c r="N40" i="14" s="1"/>
  <c r="I10" i="14"/>
  <c r="G26" i="10"/>
  <c r="G29" i="10" s="1"/>
  <c r="L10" i="14"/>
  <c r="L13" i="14" s="1"/>
  <c r="J26" i="10"/>
  <c r="F28" i="10"/>
  <c r="H12" i="14"/>
  <c r="F7" i="10"/>
  <c r="L17" i="10"/>
  <c r="F17" i="10"/>
  <c r="H17" i="10" s="1"/>
  <c r="H12" i="13"/>
  <c r="H40" i="13" s="1"/>
  <c r="N12" i="13"/>
  <c r="L40" i="13"/>
  <c r="AA10" i="13"/>
  <c r="G38" i="13"/>
  <c r="G13" i="13"/>
  <c r="L10" i="13"/>
  <c r="J15" i="10"/>
  <c r="G40" i="13"/>
  <c r="AA45" i="13"/>
  <c r="AC45" i="13" s="1"/>
  <c r="G15" i="10"/>
  <c r="G18" i="10" s="1"/>
  <c r="I10" i="13"/>
  <c r="F43" i="13"/>
  <c r="F44" i="13"/>
  <c r="F45" i="13"/>
  <c r="F15" i="10"/>
  <c r="H10" i="13"/>
  <c r="E18" i="10"/>
  <c r="M40" i="13"/>
  <c r="L6" i="10"/>
  <c r="I10" i="12"/>
  <c r="J10" i="12" s="1"/>
  <c r="H4" i="10"/>
  <c r="L10" i="12"/>
  <c r="J4" i="10"/>
  <c r="E7" i="10"/>
  <c r="H6" i="10"/>
  <c r="G7" i="10"/>
  <c r="N12" i="12"/>
  <c r="M40" i="12"/>
  <c r="N40" i="12" s="1"/>
  <c r="F43" i="12"/>
  <c r="F44" i="12"/>
  <c r="F45" i="12"/>
  <c r="H13" i="12"/>
  <c r="H40" i="12"/>
  <c r="H41" i="12" s="1"/>
  <c r="AA10" i="12"/>
  <c r="G38" i="12"/>
  <c r="G13" i="12"/>
  <c r="G40" i="12"/>
  <c r="J12" i="12"/>
  <c r="AC10" i="9"/>
  <c r="BA267" i="5" l="1"/>
  <c r="M8" i="11"/>
  <c r="J9" i="11"/>
  <c r="AX286" i="5"/>
  <c r="BA276" i="5"/>
  <c r="M18" i="11" s="1"/>
  <c r="M17" i="11"/>
  <c r="BA284" i="5"/>
  <c r="M26" i="11" s="1"/>
  <c r="M25" i="11"/>
  <c r="BA274" i="5"/>
  <c r="M16" i="11" s="1"/>
  <c r="BA269" i="5"/>
  <c r="M11" i="11" s="1"/>
  <c r="BA282" i="5"/>
  <c r="M24" i="11" s="1"/>
  <c r="BA279" i="5"/>
  <c r="M21" i="11" s="1"/>
  <c r="J142" i="10"/>
  <c r="J70" i="10"/>
  <c r="J73" i="10" s="1"/>
  <c r="I75" i="29"/>
  <c r="I80" i="29" s="1"/>
  <c r="I44" i="29"/>
  <c r="H169" i="10"/>
  <c r="F172" i="10"/>
  <c r="H172" i="10" s="1"/>
  <c r="F174" i="10" s="1"/>
  <c r="F175" i="10" s="1"/>
  <c r="J10" i="32"/>
  <c r="J40" i="32"/>
  <c r="I13" i="32"/>
  <c r="I38" i="32"/>
  <c r="L10" i="32"/>
  <c r="J169" i="10"/>
  <c r="J12" i="32"/>
  <c r="G41" i="32"/>
  <c r="AA38" i="32"/>
  <c r="H38" i="32"/>
  <c r="H41" i="32" s="1"/>
  <c r="H13" i="32"/>
  <c r="H171" i="10"/>
  <c r="H158" i="10"/>
  <c r="J10" i="31"/>
  <c r="J12" i="31"/>
  <c r="J40" i="31"/>
  <c r="G41" i="31"/>
  <c r="AA38" i="31"/>
  <c r="I38" i="31"/>
  <c r="I13" i="31"/>
  <c r="H38" i="31"/>
  <c r="H41" i="31" s="1"/>
  <c r="H13" i="31"/>
  <c r="N40" i="31"/>
  <c r="F161" i="10"/>
  <c r="J161" i="10"/>
  <c r="L13" i="31"/>
  <c r="L38" i="31"/>
  <c r="H147" i="10"/>
  <c r="H150" i="10"/>
  <c r="E152" i="10" s="1"/>
  <c r="J150" i="10"/>
  <c r="L38" i="30"/>
  <c r="L13" i="30"/>
  <c r="AA44" i="30"/>
  <c r="I38" i="30"/>
  <c r="I13" i="30"/>
  <c r="G41" i="30"/>
  <c r="H38" i="30"/>
  <c r="H13" i="30"/>
  <c r="J10" i="30"/>
  <c r="G67" i="29"/>
  <c r="G44" i="29"/>
  <c r="J44" i="29" s="1"/>
  <c r="K44" i="29" s="1"/>
  <c r="J73" i="29"/>
  <c r="I73" i="29"/>
  <c r="H12" i="18"/>
  <c r="H40" i="18" s="1"/>
  <c r="J40" i="18" s="1"/>
  <c r="J13" i="27"/>
  <c r="G15" i="27" s="1"/>
  <c r="G16" i="27" s="1"/>
  <c r="I43" i="28"/>
  <c r="I52" i="28"/>
  <c r="I56" i="28" s="1"/>
  <c r="I60" i="28" s="1"/>
  <c r="L16" i="28"/>
  <c r="J131" i="10"/>
  <c r="H52" i="28"/>
  <c r="H56" i="28" s="1"/>
  <c r="H60" i="28" s="1"/>
  <c r="H43" i="28"/>
  <c r="G43" i="28"/>
  <c r="J43" i="28" s="1"/>
  <c r="J51" i="28"/>
  <c r="J52" i="28" s="1"/>
  <c r="J56" i="28" s="1"/>
  <c r="J60" i="28" s="1"/>
  <c r="J67" i="28" s="1"/>
  <c r="G52" i="28"/>
  <c r="G56" i="28" s="1"/>
  <c r="G60" i="28" s="1"/>
  <c r="H103" i="10"/>
  <c r="H117" i="10"/>
  <c r="E119" i="10" s="1"/>
  <c r="G119" i="10" s="1"/>
  <c r="G120" i="10" s="1"/>
  <c r="J38" i="27"/>
  <c r="J41" i="27" s="1"/>
  <c r="J117" i="10"/>
  <c r="L13" i="27"/>
  <c r="L38" i="27"/>
  <c r="I41" i="27"/>
  <c r="AA38" i="26"/>
  <c r="AA44" i="26" s="1"/>
  <c r="G41" i="26"/>
  <c r="AA44" i="27"/>
  <c r="J10" i="26"/>
  <c r="H38" i="26"/>
  <c r="H13" i="26"/>
  <c r="F106" i="10"/>
  <c r="H105" i="10"/>
  <c r="H40" i="26"/>
  <c r="J40" i="26" s="1"/>
  <c r="J12" i="26"/>
  <c r="I38" i="26"/>
  <c r="I13" i="26"/>
  <c r="J106" i="10"/>
  <c r="L38" i="26"/>
  <c r="L13" i="26"/>
  <c r="H92" i="10"/>
  <c r="F95" i="10"/>
  <c r="H95" i="10" s="1"/>
  <c r="I13" i="25"/>
  <c r="I38" i="25"/>
  <c r="AA38" i="25"/>
  <c r="G41" i="25"/>
  <c r="J95" i="10"/>
  <c r="L13" i="25"/>
  <c r="L38" i="25"/>
  <c r="H13" i="25"/>
  <c r="H38" i="25"/>
  <c r="H41" i="25" s="1"/>
  <c r="J12" i="25"/>
  <c r="H94" i="10"/>
  <c r="J40" i="25"/>
  <c r="J10" i="25"/>
  <c r="G13" i="18"/>
  <c r="H10" i="18"/>
  <c r="J12" i="19"/>
  <c r="J40" i="19"/>
  <c r="J10" i="19"/>
  <c r="I38" i="19"/>
  <c r="I13" i="19"/>
  <c r="H84" i="10"/>
  <c r="F86" i="10" s="1"/>
  <c r="F87" i="10" s="1"/>
  <c r="F43" i="18"/>
  <c r="F44" i="18"/>
  <c r="F45" i="18"/>
  <c r="AA38" i="19"/>
  <c r="G41" i="19"/>
  <c r="L10" i="19"/>
  <c r="J81" i="10"/>
  <c r="H38" i="19"/>
  <c r="H41" i="19" s="1"/>
  <c r="H13" i="19"/>
  <c r="H81" i="10"/>
  <c r="G41" i="18"/>
  <c r="AA38" i="18"/>
  <c r="AA44" i="18" s="1"/>
  <c r="G70" i="10"/>
  <c r="G73" i="10" s="1"/>
  <c r="I10" i="18"/>
  <c r="L38" i="18"/>
  <c r="L41" i="18" s="1"/>
  <c r="L13" i="18"/>
  <c r="N40" i="18"/>
  <c r="F73" i="10"/>
  <c r="H72" i="10"/>
  <c r="J40" i="17"/>
  <c r="F62" i="10"/>
  <c r="H62" i="10" s="1"/>
  <c r="E64" i="10" s="1"/>
  <c r="I38" i="17"/>
  <c r="I13" i="17"/>
  <c r="J62" i="10"/>
  <c r="H59" i="10"/>
  <c r="L38" i="17"/>
  <c r="L13" i="17"/>
  <c r="J10" i="17"/>
  <c r="AA38" i="17"/>
  <c r="G41" i="17"/>
  <c r="H38" i="17"/>
  <c r="H41" i="17" s="1"/>
  <c r="H13" i="17"/>
  <c r="J12" i="17"/>
  <c r="H61" i="10"/>
  <c r="J40" i="16"/>
  <c r="J10" i="16"/>
  <c r="H48" i="10"/>
  <c r="J12" i="16"/>
  <c r="F51" i="10"/>
  <c r="H51" i="10" s="1"/>
  <c r="H50" i="10"/>
  <c r="AA38" i="16"/>
  <c r="G41" i="16"/>
  <c r="J51" i="10"/>
  <c r="I38" i="16"/>
  <c r="I13" i="16"/>
  <c r="L13" i="16"/>
  <c r="L38" i="16"/>
  <c r="H13" i="16"/>
  <c r="H38" i="16"/>
  <c r="H41" i="16" s="1"/>
  <c r="F18" i="10"/>
  <c r="H18" i="10" s="1"/>
  <c r="E20" i="10" s="1"/>
  <c r="H40" i="15"/>
  <c r="J40" i="15" s="1"/>
  <c r="J12" i="15"/>
  <c r="H13" i="15"/>
  <c r="H38" i="15"/>
  <c r="J10" i="15"/>
  <c r="F40" i="10"/>
  <c r="H37" i="10"/>
  <c r="AA38" i="14"/>
  <c r="AA44" i="14" s="1"/>
  <c r="G41" i="14"/>
  <c r="J40" i="10"/>
  <c r="I38" i="15"/>
  <c r="I41" i="15" s="1"/>
  <c r="I13" i="15"/>
  <c r="L13" i="15"/>
  <c r="L38" i="15"/>
  <c r="AA44" i="15"/>
  <c r="H40" i="14"/>
  <c r="J40" i="14" s="1"/>
  <c r="J12" i="14"/>
  <c r="F29" i="10"/>
  <c r="H28" i="10"/>
  <c r="L38" i="14"/>
  <c r="I13" i="14"/>
  <c r="I38" i="14"/>
  <c r="H26" i="10"/>
  <c r="J29" i="10"/>
  <c r="J10" i="14"/>
  <c r="H38" i="14"/>
  <c r="H13" i="14"/>
  <c r="J40" i="12"/>
  <c r="J18" i="10"/>
  <c r="L13" i="13"/>
  <c r="L38" i="13"/>
  <c r="L41" i="13" s="1"/>
  <c r="H15" i="10"/>
  <c r="I38" i="13"/>
  <c r="I13" i="13"/>
  <c r="G41" i="13"/>
  <c r="AA38" i="13"/>
  <c r="H38" i="13"/>
  <c r="H41" i="13" s="1"/>
  <c r="H13" i="13"/>
  <c r="J10" i="13"/>
  <c r="J12" i="13"/>
  <c r="N40" i="13"/>
  <c r="J40" i="13"/>
  <c r="I38" i="12"/>
  <c r="J38" i="12" s="1"/>
  <c r="I13" i="12"/>
  <c r="J13" i="12" s="1"/>
  <c r="H15" i="12" s="1"/>
  <c r="H16" i="12" s="1"/>
  <c r="J7" i="10"/>
  <c r="L38" i="12"/>
  <c r="L13" i="12"/>
  <c r="G41" i="12"/>
  <c r="AA38" i="12"/>
  <c r="H7" i="10"/>
  <c r="F9" i="10" s="1"/>
  <c r="F10" i="10" s="1"/>
  <c r="E73" i="9"/>
  <c r="E72" i="9"/>
  <c r="J28" i="11" l="1"/>
  <c r="AX299" i="5"/>
  <c r="J41" i="11" s="1"/>
  <c r="BA286" i="5"/>
  <c r="M9" i="11"/>
  <c r="E174" i="10"/>
  <c r="L38" i="32"/>
  <c r="L13" i="32"/>
  <c r="J38" i="32"/>
  <c r="J41" i="32" s="1"/>
  <c r="G51" i="32" s="1"/>
  <c r="I41" i="32"/>
  <c r="AA44" i="32"/>
  <c r="J13" i="32"/>
  <c r="J172" i="10"/>
  <c r="J13" i="31"/>
  <c r="H15" i="31" s="1"/>
  <c r="H16" i="31" s="1"/>
  <c r="I41" i="31"/>
  <c r="H161" i="10"/>
  <c r="E163" i="10" s="1"/>
  <c r="AA44" i="31"/>
  <c r="L41" i="31"/>
  <c r="J38" i="31"/>
  <c r="J41" i="31" s="1"/>
  <c r="G51" i="31" s="1"/>
  <c r="F152" i="10"/>
  <c r="F153" i="10" s="1"/>
  <c r="H41" i="30"/>
  <c r="J38" i="30"/>
  <c r="J41" i="30" s="1"/>
  <c r="G51" i="30" s="1"/>
  <c r="L41" i="30"/>
  <c r="I41" i="30"/>
  <c r="G152" i="10"/>
  <c r="G153" i="10" s="1"/>
  <c r="E153" i="10"/>
  <c r="J13" i="30"/>
  <c r="G15" i="30" s="1"/>
  <c r="G45" i="29"/>
  <c r="J45" i="29" s="1"/>
  <c r="K46" i="29" s="1"/>
  <c r="G75" i="29"/>
  <c r="G80" i="29" s="1"/>
  <c r="J12" i="18"/>
  <c r="H15" i="27"/>
  <c r="H16" i="27" s="1"/>
  <c r="I15" i="27"/>
  <c r="I16" i="27" s="1"/>
  <c r="H13" i="18"/>
  <c r="K45" i="28"/>
  <c r="H68" i="28"/>
  <c r="J68" i="28" s="1"/>
  <c r="I69" i="28"/>
  <c r="J69" i="28" s="1"/>
  <c r="M72" i="28"/>
  <c r="G72" i="28"/>
  <c r="I72" i="28" s="1"/>
  <c r="J72" i="28" s="1"/>
  <c r="J75" i="28" s="1"/>
  <c r="J80" i="28" s="1"/>
  <c r="O72" i="28"/>
  <c r="G73" i="28"/>
  <c r="K43" i="28"/>
  <c r="H67" i="28"/>
  <c r="H44" i="28"/>
  <c r="I44" i="28"/>
  <c r="I67" i="28"/>
  <c r="G44" i="28"/>
  <c r="J44" i="28" s="1"/>
  <c r="K44" i="28" s="1"/>
  <c r="G67" i="28"/>
  <c r="E120" i="10"/>
  <c r="F119" i="10"/>
  <c r="F120" i="10" s="1"/>
  <c r="I51" i="27"/>
  <c r="L41" i="27"/>
  <c r="G51" i="27"/>
  <c r="H51" i="27"/>
  <c r="I41" i="26"/>
  <c r="L41" i="26"/>
  <c r="H106" i="10"/>
  <c r="E108" i="10" s="1"/>
  <c r="J13" i="26"/>
  <c r="G15" i="26" s="1"/>
  <c r="H41" i="26"/>
  <c r="J38" i="26"/>
  <c r="J41" i="26" s="1"/>
  <c r="G51" i="26" s="1"/>
  <c r="E97" i="10"/>
  <c r="G97" i="10" s="1"/>
  <c r="G98" i="10" s="1"/>
  <c r="F97" i="10"/>
  <c r="F98" i="10" s="1"/>
  <c r="J13" i="25"/>
  <c r="H15" i="25" s="1"/>
  <c r="H16" i="25" s="1"/>
  <c r="J38" i="25"/>
  <c r="J41" i="25" s="1"/>
  <c r="H51" i="25" s="1"/>
  <c r="AA44" i="25"/>
  <c r="I41" i="25"/>
  <c r="L41" i="25"/>
  <c r="H38" i="18"/>
  <c r="H41" i="18" s="1"/>
  <c r="J10" i="18"/>
  <c r="E86" i="10"/>
  <c r="E87" i="10" s="1"/>
  <c r="J13" i="19"/>
  <c r="H15" i="19" s="1"/>
  <c r="H16" i="19" s="1"/>
  <c r="I41" i="19"/>
  <c r="J84" i="10"/>
  <c r="L38" i="19"/>
  <c r="L41" i="19" s="1"/>
  <c r="L13" i="19"/>
  <c r="H70" i="10"/>
  <c r="J38" i="19"/>
  <c r="J41" i="19" s="1"/>
  <c r="G51" i="19" s="1"/>
  <c r="AA44" i="19"/>
  <c r="H73" i="10"/>
  <c r="E75" i="10" s="1"/>
  <c r="I38" i="18"/>
  <c r="I13" i="18"/>
  <c r="F64" i="10"/>
  <c r="F65" i="10" s="1"/>
  <c r="J38" i="17"/>
  <c r="J41" i="17" s="1"/>
  <c r="H51" i="17" s="1"/>
  <c r="L41" i="17"/>
  <c r="I41" i="17"/>
  <c r="AA44" i="17"/>
  <c r="G64" i="10"/>
  <c r="G65" i="10" s="1"/>
  <c r="E65" i="10"/>
  <c r="J13" i="17"/>
  <c r="G15" i="17" s="1"/>
  <c r="F53" i="10"/>
  <c r="F54" i="10" s="1"/>
  <c r="E53" i="10"/>
  <c r="G53" i="10" s="1"/>
  <c r="G54" i="10" s="1"/>
  <c r="I41" i="16"/>
  <c r="J13" i="16"/>
  <c r="G15" i="16" s="1"/>
  <c r="L41" i="16"/>
  <c r="J38" i="16"/>
  <c r="J41" i="16" s="1"/>
  <c r="G51" i="16" s="1"/>
  <c r="AA44" i="16"/>
  <c r="J41" i="12"/>
  <c r="H51" i="12" s="1"/>
  <c r="H52" i="12" s="1"/>
  <c r="H56" i="12" s="1"/>
  <c r="H60" i="12" s="1"/>
  <c r="L41" i="15"/>
  <c r="H40" i="10"/>
  <c r="E42" i="10" s="1"/>
  <c r="H41" i="15"/>
  <c r="J38" i="15"/>
  <c r="J41" i="15" s="1"/>
  <c r="I51" i="15" s="1"/>
  <c r="J13" i="15"/>
  <c r="I41" i="14"/>
  <c r="H41" i="14"/>
  <c r="J38" i="14"/>
  <c r="J41" i="14" s="1"/>
  <c r="G51" i="14" s="1"/>
  <c r="J13" i="14"/>
  <c r="G15" i="14" s="1"/>
  <c r="L41" i="14"/>
  <c r="H29" i="10"/>
  <c r="E31" i="10" s="1"/>
  <c r="F20" i="10"/>
  <c r="F21" i="10" s="1"/>
  <c r="J13" i="13"/>
  <c r="H15" i="13" s="1"/>
  <c r="H16" i="13" s="1"/>
  <c r="G20" i="10"/>
  <c r="G21" i="10" s="1"/>
  <c r="E21" i="10"/>
  <c r="J38" i="13"/>
  <c r="J41" i="13" s="1"/>
  <c r="G51" i="13" s="1"/>
  <c r="AA44" i="13"/>
  <c r="I41" i="13"/>
  <c r="G15" i="12"/>
  <c r="I15" i="12" s="1"/>
  <c r="I16" i="12" s="1"/>
  <c r="I41" i="12"/>
  <c r="E9" i="10"/>
  <c r="AA44" i="12"/>
  <c r="L41" i="12"/>
  <c r="J79" i="9"/>
  <c r="J78" i="9"/>
  <c r="J77" i="9"/>
  <c r="M28" i="11" l="1"/>
  <c r="BA299" i="5"/>
  <c r="M41" i="11" s="1"/>
  <c r="I51" i="32"/>
  <c r="G43" i="32"/>
  <c r="G52" i="32"/>
  <c r="G56" i="32" s="1"/>
  <c r="G60" i="32" s="1"/>
  <c r="H51" i="32"/>
  <c r="H15" i="32"/>
  <c r="H16" i="32" s="1"/>
  <c r="G15" i="32"/>
  <c r="L41" i="32"/>
  <c r="E175" i="10"/>
  <c r="G174" i="10"/>
  <c r="G175" i="10" s="1"/>
  <c r="G15" i="31"/>
  <c r="I15" i="31" s="1"/>
  <c r="I16" i="31" s="1"/>
  <c r="H51" i="31"/>
  <c r="H52" i="31" s="1"/>
  <c r="H56" i="31" s="1"/>
  <c r="H60" i="31" s="1"/>
  <c r="F163" i="10"/>
  <c r="F164" i="10" s="1"/>
  <c r="G52" i="31"/>
  <c r="G56" i="31" s="1"/>
  <c r="G60" i="31" s="1"/>
  <c r="G43" i="31"/>
  <c r="G163" i="10"/>
  <c r="G164" i="10" s="1"/>
  <c r="E164" i="10"/>
  <c r="I51" i="31"/>
  <c r="H15" i="30"/>
  <c r="H16" i="30" s="1"/>
  <c r="G16" i="30"/>
  <c r="I15" i="30"/>
  <c r="I16" i="30" s="1"/>
  <c r="G52" i="30"/>
  <c r="G56" i="30" s="1"/>
  <c r="G60" i="30" s="1"/>
  <c r="G43" i="30"/>
  <c r="H152" i="10"/>
  <c r="H153" i="10" s="1"/>
  <c r="I51" i="30"/>
  <c r="H51" i="30"/>
  <c r="J15" i="27"/>
  <c r="J16" i="27" s="1"/>
  <c r="J120" i="10" s="1"/>
  <c r="J13" i="18"/>
  <c r="G15" i="18" s="1"/>
  <c r="I15" i="18" s="1"/>
  <c r="I16" i="18" s="1"/>
  <c r="J73" i="28"/>
  <c r="I73" i="28"/>
  <c r="G45" i="28"/>
  <c r="J45" i="28" s="1"/>
  <c r="K46" i="28" s="1"/>
  <c r="G75" i="28"/>
  <c r="G80" i="28" s="1"/>
  <c r="I45" i="28"/>
  <c r="I75" i="28"/>
  <c r="I80" i="28" s="1"/>
  <c r="H45" i="28"/>
  <c r="H75" i="28"/>
  <c r="H80" i="28" s="1"/>
  <c r="H15" i="26"/>
  <c r="H16" i="26" s="1"/>
  <c r="H119" i="10"/>
  <c r="H120" i="10" s="1"/>
  <c r="G52" i="27"/>
  <c r="G56" i="27" s="1"/>
  <c r="G60" i="27" s="1"/>
  <c r="G43" i="27"/>
  <c r="J51" i="27"/>
  <c r="J52" i="27" s="1"/>
  <c r="J56" i="27" s="1"/>
  <c r="J60" i="27" s="1"/>
  <c r="J67" i="27" s="1"/>
  <c r="H43" i="27"/>
  <c r="H52" i="27"/>
  <c r="H56" i="27" s="1"/>
  <c r="H60" i="27" s="1"/>
  <c r="I52" i="27"/>
  <c r="I56" i="27" s="1"/>
  <c r="I60" i="27" s="1"/>
  <c r="I43" i="27"/>
  <c r="I51" i="26"/>
  <c r="G16" i="26"/>
  <c r="I15" i="26"/>
  <c r="I16" i="26" s="1"/>
  <c r="G108" i="10"/>
  <c r="G109" i="10" s="1"/>
  <c r="E109" i="10"/>
  <c r="F108" i="10"/>
  <c r="F109" i="10" s="1"/>
  <c r="G52" i="26"/>
  <c r="G56" i="26" s="1"/>
  <c r="G60" i="26" s="1"/>
  <c r="G43" i="26"/>
  <c r="H51" i="26"/>
  <c r="G51" i="25"/>
  <c r="G43" i="25" s="1"/>
  <c r="I51" i="25"/>
  <c r="I52" i="25" s="1"/>
  <c r="I56" i="25" s="1"/>
  <c r="I60" i="25" s="1"/>
  <c r="E98" i="10"/>
  <c r="G15" i="25"/>
  <c r="I15" i="25" s="1"/>
  <c r="I16" i="25" s="1"/>
  <c r="H97" i="10"/>
  <c r="H98" i="10" s="1"/>
  <c r="H52" i="25"/>
  <c r="H56" i="25" s="1"/>
  <c r="H60" i="25" s="1"/>
  <c r="H43" i="25"/>
  <c r="G86" i="10"/>
  <c r="G87" i="10" s="1"/>
  <c r="G15" i="19"/>
  <c r="G16" i="19" s="1"/>
  <c r="H51" i="19"/>
  <c r="H52" i="19" s="1"/>
  <c r="H56" i="19" s="1"/>
  <c r="H60" i="19" s="1"/>
  <c r="I51" i="19"/>
  <c r="G43" i="19"/>
  <c r="G52" i="19"/>
  <c r="G56" i="19" s="1"/>
  <c r="G60" i="19" s="1"/>
  <c r="G75" i="10"/>
  <c r="G76" i="10" s="1"/>
  <c r="E76" i="10"/>
  <c r="F75" i="10"/>
  <c r="F76" i="10" s="1"/>
  <c r="I41" i="18"/>
  <c r="J38" i="18"/>
  <c r="J41" i="18" s="1"/>
  <c r="G51" i="18" s="1"/>
  <c r="I51" i="12"/>
  <c r="I52" i="12" s="1"/>
  <c r="I56" i="12" s="1"/>
  <c r="I60" i="12" s="1"/>
  <c r="I51" i="17"/>
  <c r="I52" i="17" s="1"/>
  <c r="I56" i="17" s="1"/>
  <c r="I60" i="17" s="1"/>
  <c r="H15" i="17"/>
  <c r="H16" i="17" s="1"/>
  <c r="G51" i="17"/>
  <c r="H43" i="17"/>
  <c r="H52" i="17"/>
  <c r="H56" i="17" s="1"/>
  <c r="H60" i="17" s="1"/>
  <c r="G16" i="17"/>
  <c r="I15" i="17"/>
  <c r="I16" i="17" s="1"/>
  <c r="H64" i="10"/>
  <c r="H65" i="10" s="1"/>
  <c r="H53" i="10"/>
  <c r="H54" i="10" s="1"/>
  <c r="E54" i="10"/>
  <c r="I51" i="16"/>
  <c r="H51" i="16"/>
  <c r="H52" i="16" s="1"/>
  <c r="H56" i="16" s="1"/>
  <c r="H60" i="16" s="1"/>
  <c r="G43" i="16"/>
  <c r="G52" i="16"/>
  <c r="G56" i="16" s="1"/>
  <c r="G60" i="16" s="1"/>
  <c r="G16" i="16"/>
  <c r="I15" i="16"/>
  <c r="I16" i="16" s="1"/>
  <c r="H15" i="16"/>
  <c r="H16" i="16" s="1"/>
  <c r="H43" i="12"/>
  <c r="G51" i="12"/>
  <c r="G43" i="12" s="1"/>
  <c r="I51" i="14"/>
  <c r="I43" i="14" s="1"/>
  <c r="H15" i="14"/>
  <c r="H16" i="14" s="1"/>
  <c r="F42" i="10"/>
  <c r="F43" i="10" s="1"/>
  <c r="H15" i="15"/>
  <c r="H16" i="15" s="1"/>
  <c r="G15" i="15"/>
  <c r="H51" i="15"/>
  <c r="G51" i="15"/>
  <c r="I52" i="15"/>
  <c r="I56" i="15" s="1"/>
  <c r="I60" i="15" s="1"/>
  <c r="I43" i="15"/>
  <c r="G42" i="10"/>
  <c r="G43" i="10" s="1"/>
  <c r="E43" i="10"/>
  <c r="F31" i="10"/>
  <c r="F32" i="10" s="1"/>
  <c r="G52" i="14"/>
  <c r="G56" i="14" s="1"/>
  <c r="G60" i="14" s="1"/>
  <c r="G43" i="14"/>
  <c r="E32" i="10"/>
  <c r="G31" i="10"/>
  <c r="G32" i="10" s="1"/>
  <c r="I15" i="14"/>
  <c r="I16" i="14" s="1"/>
  <c r="G16" i="14"/>
  <c r="H51" i="14"/>
  <c r="G15" i="13"/>
  <c r="I15" i="13" s="1"/>
  <c r="I16" i="13" s="1"/>
  <c r="G43" i="13"/>
  <c r="G52" i="13"/>
  <c r="G56" i="13" s="1"/>
  <c r="G60" i="13" s="1"/>
  <c r="H20" i="10"/>
  <c r="H21" i="10" s="1"/>
  <c r="H51" i="13"/>
  <c r="I51" i="13"/>
  <c r="J15" i="12"/>
  <c r="J16" i="12" s="1"/>
  <c r="L16" i="12" s="1"/>
  <c r="G16" i="12"/>
  <c r="H67" i="12"/>
  <c r="H44" i="12"/>
  <c r="E10" i="10"/>
  <c r="G9" i="10"/>
  <c r="G10" i="10" s="1"/>
  <c r="H63" i="9"/>
  <c r="J51" i="32" l="1"/>
  <c r="J52" i="32" s="1"/>
  <c r="J56" i="32" s="1"/>
  <c r="J60" i="32" s="1"/>
  <c r="J67" i="32" s="1"/>
  <c r="H68" i="32" s="1"/>
  <c r="J68" i="32" s="1"/>
  <c r="G16" i="32"/>
  <c r="I15" i="32"/>
  <c r="I16" i="32" s="1"/>
  <c r="H174" i="10"/>
  <c r="H175" i="10" s="1"/>
  <c r="H52" i="32"/>
  <c r="H56" i="32" s="1"/>
  <c r="H60" i="32" s="1"/>
  <c r="H43" i="32"/>
  <c r="G44" i="32"/>
  <c r="G67" i="32"/>
  <c r="I52" i="32"/>
  <c r="I56" i="32" s="1"/>
  <c r="I60" i="32" s="1"/>
  <c r="I43" i="32"/>
  <c r="G16" i="31"/>
  <c r="H43" i="31"/>
  <c r="I52" i="31"/>
  <c r="I56" i="31" s="1"/>
  <c r="I60" i="31" s="1"/>
  <c r="I43" i="31"/>
  <c r="J51" i="31"/>
  <c r="J52" i="31" s="1"/>
  <c r="J56" i="31" s="1"/>
  <c r="J60" i="31" s="1"/>
  <c r="J67" i="31" s="1"/>
  <c r="H163" i="10"/>
  <c r="H164" i="10" s="1"/>
  <c r="G44" i="31"/>
  <c r="G67" i="31"/>
  <c r="J15" i="31"/>
  <c r="J16" i="31" s="1"/>
  <c r="H44" i="31"/>
  <c r="H67" i="31"/>
  <c r="J51" i="30"/>
  <c r="J52" i="30" s="1"/>
  <c r="J56" i="30" s="1"/>
  <c r="J60" i="30" s="1"/>
  <c r="J67" i="30" s="1"/>
  <c r="G72" i="30" s="1"/>
  <c r="I72" i="30" s="1"/>
  <c r="J72" i="30" s="1"/>
  <c r="G67" i="30"/>
  <c r="G44" i="30"/>
  <c r="J15" i="30"/>
  <c r="J16" i="30" s="1"/>
  <c r="H52" i="30"/>
  <c r="H56" i="30" s="1"/>
  <c r="H60" i="30" s="1"/>
  <c r="H43" i="30"/>
  <c r="I43" i="30"/>
  <c r="I52" i="30"/>
  <c r="I56" i="30" s="1"/>
  <c r="I60" i="30" s="1"/>
  <c r="L16" i="27"/>
  <c r="G16" i="18"/>
  <c r="H15" i="18"/>
  <c r="H16" i="18" s="1"/>
  <c r="H44" i="27"/>
  <c r="H67" i="27"/>
  <c r="H68" i="27"/>
  <c r="J68" i="27" s="1"/>
  <c r="M72" i="27"/>
  <c r="O72" i="27"/>
  <c r="G73" i="27"/>
  <c r="I73" i="27" s="1"/>
  <c r="J73" i="27" s="1"/>
  <c r="G72" i="27"/>
  <c r="J43" i="27"/>
  <c r="K43" i="27" s="1"/>
  <c r="I44" i="27"/>
  <c r="I67" i="27"/>
  <c r="G67" i="27"/>
  <c r="G44" i="27"/>
  <c r="I52" i="26"/>
  <c r="I56" i="26" s="1"/>
  <c r="I60" i="26" s="1"/>
  <c r="I43" i="26"/>
  <c r="G44" i="26"/>
  <c r="G67" i="26"/>
  <c r="H108" i="10"/>
  <c r="H109" i="10" s="1"/>
  <c r="H52" i="26"/>
  <c r="H56" i="26" s="1"/>
  <c r="H60" i="26" s="1"/>
  <c r="H43" i="26"/>
  <c r="J51" i="26"/>
  <c r="J52" i="26" s="1"/>
  <c r="J56" i="26" s="1"/>
  <c r="J60" i="26" s="1"/>
  <c r="J67" i="26" s="1"/>
  <c r="J15" i="26"/>
  <c r="J16" i="26" s="1"/>
  <c r="I43" i="25"/>
  <c r="J43" i="25" s="1"/>
  <c r="G52" i="25"/>
  <c r="G56" i="25" s="1"/>
  <c r="G60" i="25" s="1"/>
  <c r="G44" i="25" s="1"/>
  <c r="J51" i="25"/>
  <c r="J52" i="25" s="1"/>
  <c r="J56" i="25" s="1"/>
  <c r="J60" i="25" s="1"/>
  <c r="J67" i="25" s="1"/>
  <c r="G16" i="25"/>
  <c r="J15" i="25"/>
  <c r="J16" i="25" s="1"/>
  <c r="J98" i="10" s="1"/>
  <c r="H67" i="25"/>
  <c r="H44" i="25"/>
  <c r="I44" i="25"/>
  <c r="I67" i="25"/>
  <c r="H86" i="10"/>
  <c r="H87" i="10" s="1"/>
  <c r="H43" i="19"/>
  <c r="J51" i="19"/>
  <c r="J52" i="19" s="1"/>
  <c r="J56" i="19" s="1"/>
  <c r="J60" i="19" s="1"/>
  <c r="J67" i="19" s="1"/>
  <c r="O72" i="19" s="1"/>
  <c r="I15" i="19"/>
  <c r="I16" i="19" s="1"/>
  <c r="H75" i="10"/>
  <c r="H76" i="10" s="1"/>
  <c r="G44" i="19"/>
  <c r="G67" i="19"/>
  <c r="I52" i="19"/>
  <c r="I56" i="19" s="1"/>
  <c r="I60" i="19" s="1"/>
  <c r="I43" i="19"/>
  <c r="H44" i="19"/>
  <c r="H67" i="19"/>
  <c r="I51" i="18"/>
  <c r="H51" i="18"/>
  <c r="G43" i="18"/>
  <c r="G52" i="18"/>
  <c r="G56" i="18" s="1"/>
  <c r="G60" i="18" s="1"/>
  <c r="I43" i="12"/>
  <c r="J43" i="12" s="1"/>
  <c r="J51" i="12"/>
  <c r="J52" i="12" s="1"/>
  <c r="J56" i="12" s="1"/>
  <c r="J60" i="12" s="1"/>
  <c r="J67" i="12" s="1"/>
  <c r="G72" i="12" s="1"/>
  <c r="I72" i="12" s="1"/>
  <c r="J72" i="12" s="1"/>
  <c r="I43" i="17"/>
  <c r="J51" i="17"/>
  <c r="J52" i="17" s="1"/>
  <c r="J56" i="17" s="1"/>
  <c r="J60" i="17" s="1"/>
  <c r="J67" i="17" s="1"/>
  <c r="G72" i="17" s="1"/>
  <c r="I72" i="17" s="1"/>
  <c r="J72" i="17" s="1"/>
  <c r="G52" i="17"/>
  <c r="G56" i="17" s="1"/>
  <c r="G60" i="17" s="1"/>
  <c r="G67" i="17" s="1"/>
  <c r="G43" i="17"/>
  <c r="J15" i="17"/>
  <c r="J16" i="17" s="1"/>
  <c r="L16" i="17" s="1"/>
  <c r="I44" i="17"/>
  <c r="I67" i="17"/>
  <c r="H67" i="17"/>
  <c r="H44" i="17"/>
  <c r="J51" i="16"/>
  <c r="J52" i="16" s="1"/>
  <c r="J56" i="16" s="1"/>
  <c r="J60" i="16" s="1"/>
  <c r="J67" i="16" s="1"/>
  <c r="H68" i="16" s="1"/>
  <c r="J68" i="16" s="1"/>
  <c r="H43" i="16"/>
  <c r="I43" i="16"/>
  <c r="I52" i="16"/>
  <c r="I56" i="16" s="1"/>
  <c r="I60" i="16" s="1"/>
  <c r="I67" i="16" s="1"/>
  <c r="H67" i="16"/>
  <c r="H44" i="16"/>
  <c r="G52" i="12"/>
  <c r="G56" i="12" s="1"/>
  <c r="G60" i="12" s="1"/>
  <c r="G67" i="12" s="1"/>
  <c r="G44" i="16"/>
  <c r="G67" i="16"/>
  <c r="J15" i="16"/>
  <c r="J16" i="16" s="1"/>
  <c r="I52" i="14"/>
  <c r="I56" i="14" s="1"/>
  <c r="I60" i="14" s="1"/>
  <c r="I44" i="14" s="1"/>
  <c r="H42" i="10"/>
  <c r="H43" i="10" s="1"/>
  <c r="I67" i="15"/>
  <c r="I44" i="15"/>
  <c r="G52" i="15"/>
  <c r="G56" i="15" s="1"/>
  <c r="G60" i="15" s="1"/>
  <c r="J51" i="15"/>
  <c r="J52" i="15" s="1"/>
  <c r="J56" i="15" s="1"/>
  <c r="J60" i="15" s="1"/>
  <c r="J67" i="15" s="1"/>
  <c r="G43" i="15"/>
  <c r="H43" i="15"/>
  <c r="H52" i="15"/>
  <c r="H56" i="15" s="1"/>
  <c r="H60" i="15" s="1"/>
  <c r="G16" i="15"/>
  <c r="I15" i="15"/>
  <c r="I16" i="15" s="1"/>
  <c r="H31" i="10"/>
  <c r="H32" i="10" s="1"/>
  <c r="H52" i="14"/>
  <c r="H56" i="14" s="1"/>
  <c r="H60" i="14" s="1"/>
  <c r="H43" i="14"/>
  <c r="J43" i="14" s="1"/>
  <c r="J51" i="14"/>
  <c r="J52" i="14" s="1"/>
  <c r="J56" i="14" s="1"/>
  <c r="J60" i="14" s="1"/>
  <c r="J67" i="14" s="1"/>
  <c r="J15" i="14"/>
  <c r="J16" i="14" s="1"/>
  <c r="G44" i="14"/>
  <c r="G67" i="14"/>
  <c r="G16" i="13"/>
  <c r="J15" i="13"/>
  <c r="J16" i="13" s="1"/>
  <c r="L16" i="13" s="1"/>
  <c r="I43" i="13"/>
  <c r="I52" i="13"/>
  <c r="I56" i="13" s="1"/>
  <c r="I60" i="13" s="1"/>
  <c r="H52" i="13"/>
  <c r="H56" i="13" s="1"/>
  <c r="H60" i="13" s="1"/>
  <c r="H43" i="13"/>
  <c r="J51" i="13"/>
  <c r="J52" i="13" s="1"/>
  <c r="J56" i="13" s="1"/>
  <c r="J60" i="13" s="1"/>
  <c r="J67" i="13" s="1"/>
  <c r="G67" i="13"/>
  <c r="G44" i="13"/>
  <c r="J10" i="10"/>
  <c r="H9" i="10"/>
  <c r="H10" i="10" s="1"/>
  <c r="I67" i="12"/>
  <c r="I44" i="12"/>
  <c r="H45" i="12"/>
  <c r="K8" i="9"/>
  <c r="M72" i="32" l="1"/>
  <c r="G72" i="32"/>
  <c r="I72" i="32" s="1"/>
  <c r="J72" i="32" s="1"/>
  <c r="O72" i="32"/>
  <c r="G73" i="32"/>
  <c r="I73" i="32" s="1"/>
  <c r="J73" i="32" s="1"/>
  <c r="J15" i="32"/>
  <c r="J16" i="32" s="1"/>
  <c r="J175" i="10" s="1"/>
  <c r="J43" i="32"/>
  <c r="K43" i="32" s="1"/>
  <c r="G45" i="32"/>
  <c r="H67" i="32"/>
  <c r="H44" i="32"/>
  <c r="I44" i="32"/>
  <c r="I67" i="32"/>
  <c r="I45" i="32" s="1"/>
  <c r="J43" i="31"/>
  <c r="K43" i="31" s="1"/>
  <c r="H45" i="31"/>
  <c r="I67" i="31"/>
  <c r="I44" i="31"/>
  <c r="J44" i="31" s="1"/>
  <c r="K44" i="31" s="1"/>
  <c r="L16" i="31"/>
  <c r="J164" i="10"/>
  <c r="G45" i="31"/>
  <c r="G72" i="31"/>
  <c r="O72" i="31"/>
  <c r="H68" i="31"/>
  <c r="J68" i="31" s="1"/>
  <c r="G73" i="31"/>
  <c r="I73" i="31" s="1"/>
  <c r="J73" i="31" s="1"/>
  <c r="M72" i="31"/>
  <c r="J43" i="30"/>
  <c r="K43" i="30" s="1"/>
  <c r="O72" i="30"/>
  <c r="G73" i="30"/>
  <c r="I73" i="30" s="1"/>
  <c r="J73" i="30" s="1"/>
  <c r="H68" i="30"/>
  <c r="J68" i="30" s="1"/>
  <c r="M72" i="30"/>
  <c r="I44" i="30"/>
  <c r="I67" i="30"/>
  <c r="H44" i="30"/>
  <c r="H67" i="30"/>
  <c r="G45" i="30"/>
  <c r="L16" i="30"/>
  <c r="J153" i="10"/>
  <c r="J15" i="18"/>
  <c r="J16" i="18" s="1"/>
  <c r="L16" i="18" s="1"/>
  <c r="J43" i="26"/>
  <c r="K43" i="26" s="1"/>
  <c r="J44" i="27"/>
  <c r="K44" i="27" s="1"/>
  <c r="I72" i="27"/>
  <c r="J72" i="27" s="1"/>
  <c r="G45" i="27"/>
  <c r="G75" i="27"/>
  <c r="G80" i="27" s="1"/>
  <c r="I45" i="27"/>
  <c r="H45" i="27"/>
  <c r="H75" i="27"/>
  <c r="H80" i="27" s="1"/>
  <c r="M72" i="26"/>
  <c r="H68" i="26"/>
  <c r="J68" i="26" s="1"/>
  <c r="G72" i="26"/>
  <c r="G73" i="26"/>
  <c r="I73" i="26" s="1"/>
  <c r="J73" i="26" s="1"/>
  <c r="O72" i="26"/>
  <c r="H44" i="26"/>
  <c r="H67" i="26"/>
  <c r="G45" i="26"/>
  <c r="L16" i="26"/>
  <c r="J109" i="10"/>
  <c r="I67" i="26"/>
  <c r="I44" i="26"/>
  <c r="O72" i="25"/>
  <c r="L16" i="25"/>
  <c r="G67" i="25"/>
  <c r="G45" i="25" s="1"/>
  <c r="H68" i="25"/>
  <c r="J68" i="25" s="1"/>
  <c r="K43" i="25"/>
  <c r="G73" i="25"/>
  <c r="I73" i="25" s="1"/>
  <c r="J73" i="25" s="1"/>
  <c r="G72" i="25"/>
  <c r="I72" i="25" s="1"/>
  <c r="J72" i="25" s="1"/>
  <c r="M72" i="25"/>
  <c r="H45" i="25"/>
  <c r="I45" i="25"/>
  <c r="J44" i="25"/>
  <c r="K44" i="25" s="1"/>
  <c r="J43" i="19"/>
  <c r="K43" i="19" s="1"/>
  <c r="H68" i="19"/>
  <c r="J68" i="19" s="1"/>
  <c r="G73" i="19"/>
  <c r="I73" i="19" s="1"/>
  <c r="J73" i="19" s="1"/>
  <c r="J15" i="19"/>
  <c r="J16" i="19" s="1"/>
  <c r="J87" i="10" s="1"/>
  <c r="G72" i="19"/>
  <c r="I72" i="19" s="1"/>
  <c r="J72" i="19" s="1"/>
  <c r="M72" i="19"/>
  <c r="H45" i="19"/>
  <c r="I44" i="19"/>
  <c r="J44" i="19" s="1"/>
  <c r="K44" i="19" s="1"/>
  <c r="I67" i="19"/>
  <c r="J51" i="18"/>
  <c r="J52" i="18" s="1"/>
  <c r="J56" i="18" s="1"/>
  <c r="J60" i="18" s="1"/>
  <c r="J67" i="18" s="1"/>
  <c r="G73" i="18" s="1"/>
  <c r="I73" i="18" s="1"/>
  <c r="J73" i="18" s="1"/>
  <c r="G45" i="19"/>
  <c r="G44" i="18"/>
  <c r="G67" i="18"/>
  <c r="H43" i="18"/>
  <c r="H52" i="18"/>
  <c r="H56" i="18" s="1"/>
  <c r="H60" i="18" s="1"/>
  <c r="I52" i="18"/>
  <c r="I56" i="18" s="1"/>
  <c r="I60" i="18" s="1"/>
  <c r="I43" i="18"/>
  <c r="K43" i="12"/>
  <c r="M72" i="12"/>
  <c r="G73" i="12"/>
  <c r="I73" i="12" s="1"/>
  <c r="J73" i="12" s="1"/>
  <c r="H68" i="12"/>
  <c r="J68" i="12" s="1"/>
  <c r="G73" i="17"/>
  <c r="I73" i="17" s="1"/>
  <c r="J73" i="17" s="1"/>
  <c r="O72" i="17"/>
  <c r="M72" i="17"/>
  <c r="H68" i="17"/>
  <c r="J68" i="17" s="1"/>
  <c r="J43" i="17"/>
  <c r="K43" i="17" s="1"/>
  <c r="G44" i="17"/>
  <c r="J44" i="17" s="1"/>
  <c r="K44" i="17" s="1"/>
  <c r="J65" i="10"/>
  <c r="I45" i="17"/>
  <c r="H45" i="17"/>
  <c r="G45" i="17"/>
  <c r="O72" i="16"/>
  <c r="G72" i="16"/>
  <c r="I72" i="16" s="1"/>
  <c r="J72" i="16" s="1"/>
  <c r="J43" i="16"/>
  <c r="K43" i="16" s="1"/>
  <c r="G73" i="16"/>
  <c r="I73" i="16" s="1"/>
  <c r="J73" i="16" s="1"/>
  <c r="M72" i="16"/>
  <c r="O72" i="12"/>
  <c r="I44" i="16"/>
  <c r="J44" i="16" s="1"/>
  <c r="K44" i="16" s="1"/>
  <c r="G44" i="12"/>
  <c r="J44" i="12" s="1"/>
  <c r="K44" i="12" s="1"/>
  <c r="G45" i="16"/>
  <c r="L16" i="16"/>
  <c r="J54" i="10"/>
  <c r="I45" i="16"/>
  <c r="H45" i="16"/>
  <c r="H75" i="16"/>
  <c r="H80" i="16" s="1"/>
  <c r="I67" i="14"/>
  <c r="I45" i="14" s="1"/>
  <c r="J15" i="15"/>
  <c r="J16" i="15" s="1"/>
  <c r="L16" i="15" s="1"/>
  <c r="K43" i="14"/>
  <c r="I45" i="15"/>
  <c r="H67" i="15"/>
  <c r="H44" i="15"/>
  <c r="J43" i="15"/>
  <c r="K43" i="15" s="1"/>
  <c r="M72" i="15"/>
  <c r="G72" i="15"/>
  <c r="I72" i="15" s="1"/>
  <c r="J72" i="15" s="1"/>
  <c r="G73" i="15"/>
  <c r="O72" i="15"/>
  <c r="H68" i="15"/>
  <c r="J68" i="15" s="1"/>
  <c r="G44" i="15"/>
  <c r="G67" i="15"/>
  <c r="L16" i="14"/>
  <c r="J32" i="10"/>
  <c r="M72" i="14"/>
  <c r="G72" i="14"/>
  <c r="H68" i="14"/>
  <c r="J68" i="14" s="1"/>
  <c r="G73" i="14"/>
  <c r="O72" i="14"/>
  <c r="G45" i="14"/>
  <c r="H44" i="14"/>
  <c r="J44" i="14" s="1"/>
  <c r="K44" i="14" s="1"/>
  <c r="H67" i="14"/>
  <c r="J21" i="10"/>
  <c r="J43" i="13"/>
  <c r="K43" i="13" s="1"/>
  <c r="G45" i="13"/>
  <c r="G73" i="13"/>
  <c r="I73" i="13" s="1"/>
  <c r="J73" i="13" s="1"/>
  <c r="M72" i="13"/>
  <c r="G72" i="13"/>
  <c r="O72" i="13"/>
  <c r="H68" i="13"/>
  <c r="J68" i="13" s="1"/>
  <c r="I67" i="13"/>
  <c r="I45" i="13" s="1"/>
  <c r="I44" i="13"/>
  <c r="H44" i="13"/>
  <c r="H67" i="13"/>
  <c r="I45" i="12"/>
  <c r="G45" i="12"/>
  <c r="I35" i="9"/>
  <c r="G63" i="9"/>
  <c r="I63" i="9" s="1"/>
  <c r="G75" i="30" l="1"/>
  <c r="G80" i="30" s="1"/>
  <c r="L16" i="32"/>
  <c r="G75" i="32"/>
  <c r="G80" i="32" s="1"/>
  <c r="J44" i="32"/>
  <c r="K44" i="32" s="1"/>
  <c r="H45" i="32"/>
  <c r="J45" i="32" s="1"/>
  <c r="H75" i="32"/>
  <c r="H80" i="32" s="1"/>
  <c r="G75" i="31"/>
  <c r="G80" i="31" s="1"/>
  <c r="H75" i="31"/>
  <c r="H80" i="31" s="1"/>
  <c r="I45" i="31"/>
  <c r="J45" i="31" s="1"/>
  <c r="I72" i="31"/>
  <c r="J72" i="31" s="1"/>
  <c r="J44" i="30"/>
  <c r="K44" i="30" s="1"/>
  <c r="H45" i="30"/>
  <c r="H75" i="30"/>
  <c r="H80" i="30" s="1"/>
  <c r="I45" i="30"/>
  <c r="J76" i="10"/>
  <c r="J44" i="26"/>
  <c r="K44" i="26" s="1"/>
  <c r="J45" i="27"/>
  <c r="G75" i="26"/>
  <c r="G80" i="26" s="1"/>
  <c r="I45" i="26"/>
  <c r="I72" i="26"/>
  <c r="J72" i="26" s="1"/>
  <c r="H75" i="26"/>
  <c r="H80" i="26" s="1"/>
  <c r="H45" i="26"/>
  <c r="H75" i="25"/>
  <c r="H80" i="25" s="1"/>
  <c r="G75" i="25"/>
  <c r="G80" i="25" s="1"/>
  <c r="J45" i="25"/>
  <c r="K45" i="25" s="1"/>
  <c r="H75" i="19"/>
  <c r="H80" i="19" s="1"/>
  <c r="L16" i="19"/>
  <c r="G75" i="19"/>
  <c r="G80" i="19" s="1"/>
  <c r="O72" i="18"/>
  <c r="G72" i="18"/>
  <c r="I72" i="18" s="1"/>
  <c r="J72" i="18" s="1"/>
  <c r="J43" i="18"/>
  <c r="K43" i="18" s="1"/>
  <c r="H75" i="12"/>
  <c r="H80" i="12" s="1"/>
  <c r="H68" i="18"/>
  <c r="J68" i="18" s="1"/>
  <c r="I45" i="19"/>
  <c r="J45" i="19" s="1"/>
  <c r="M72" i="18"/>
  <c r="H44" i="18"/>
  <c r="H67" i="18"/>
  <c r="I44" i="18"/>
  <c r="I67" i="18"/>
  <c r="G45" i="18"/>
  <c r="G75" i="12"/>
  <c r="G80" i="12" s="1"/>
  <c r="G75" i="17"/>
  <c r="G80" i="17" s="1"/>
  <c r="H75" i="17"/>
  <c r="H80" i="17" s="1"/>
  <c r="J45" i="17"/>
  <c r="G75" i="16"/>
  <c r="G80" i="16" s="1"/>
  <c r="J45" i="16"/>
  <c r="K45" i="16" s="1"/>
  <c r="J43" i="10"/>
  <c r="G45" i="15"/>
  <c r="G75" i="15"/>
  <c r="G80" i="15" s="1"/>
  <c r="J44" i="15"/>
  <c r="K44" i="15" s="1"/>
  <c r="H45" i="15"/>
  <c r="H75" i="15"/>
  <c r="H80" i="15" s="1"/>
  <c r="I73" i="15"/>
  <c r="J73" i="15" s="1"/>
  <c r="I73" i="14"/>
  <c r="J73" i="14" s="1"/>
  <c r="H75" i="14"/>
  <c r="H80" i="14" s="1"/>
  <c r="H45" i="14"/>
  <c r="J45" i="14" s="1"/>
  <c r="I72" i="14"/>
  <c r="J72" i="14" s="1"/>
  <c r="G75" i="14"/>
  <c r="G80" i="14" s="1"/>
  <c r="I72" i="13"/>
  <c r="J72" i="13" s="1"/>
  <c r="H45" i="13"/>
  <c r="J45" i="13" s="1"/>
  <c r="H75" i="13"/>
  <c r="H80" i="13" s="1"/>
  <c r="J44" i="13"/>
  <c r="K44" i="13" s="1"/>
  <c r="G75" i="13"/>
  <c r="G80" i="13" s="1"/>
  <c r="J45" i="12"/>
  <c r="K46" i="12" s="1"/>
  <c r="K50" i="9"/>
  <c r="K46" i="32" l="1"/>
  <c r="K45" i="32"/>
  <c r="K46" i="31"/>
  <c r="K45" i="31"/>
  <c r="J45" i="30"/>
  <c r="K46" i="30" s="1"/>
  <c r="J45" i="26"/>
  <c r="K46" i="26" s="1"/>
  <c r="K46" i="27"/>
  <c r="K45" i="27"/>
  <c r="K46" i="25"/>
  <c r="G75" i="18"/>
  <c r="G80" i="18" s="1"/>
  <c r="J44" i="18"/>
  <c r="K44" i="18" s="1"/>
  <c r="K46" i="19"/>
  <c r="K45" i="19"/>
  <c r="I45" i="18"/>
  <c r="H75" i="18"/>
  <c r="H80" i="18" s="1"/>
  <c r="H45" i="18"/>
  <c r="K46" i="17"/>
  <c r="K45" i="17"/>
  <c r="K46" i="16"/>
  <c r="J45" i="15"/>
  <c r="K45" i="15" s="1"/>
  <c r="K46" i="14"/>
  <c r="K45" i="14"/>
  <c r="K45" i="12"/>
  <c r="K46" i="13"/>
  <c r="K45" i="13"/>
  <c r="G8" i="9"/>
  <c r="H8" i="9"/>
  <c r="M20" i="9"/>
  <c r="K45" i="30" l="1"/>
  <c r="K45" i="26"/>
  <c r="J45" i="18"/>
  <c r="K46" i="18" s="1"/>
  <c r="K46" i="15"/>
  <c r="I71" i="9"/>
  <c r="K45" i="18" l="1"/>
  <c r="F38" i="9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8" i="5" l="1"/>
  <c r="CH26" i="5"/>
  <c r="CH34" i="5"/>
  <c r="CH42" i="5"/>
  <c r="CJ42" i="5" s="1"/>
  <c r="CH50" i="5"/>
  <c r="CH66" i="5"/>
  <c r="CH74" i="5"/>
  <c r="CH82" i="5"/>
  <c r="CH98" i="5"/>
  <c r="CH106" i="5"/>
  <c r="CH114" i="5"/>
  <c r="CH130" i="5"/>
  <c r="CH138" i="5"/>
  <c r="CH146" i="5"/>
  <c r="CH154" i="5"/>
  <c r="CH162" i="5"/>
  <c r="CH170" i="5"/>
  <c r="CH178" i="5"/>
  <c r="CH202" i="5"/>
  <c r="CH8" i="5"/>
  <c r="CH136" i="5"/>
  <c r="CH192" i="5"/>
  <c r="CH3" i="5"/>
  <c r="CH11" i="5"/>
  <c r="CH19" i="5"/>
  <c r="CH43" i="5"/>
  <c r="CH51" i="5"/>
  <c r="CH59" i="5"/>
  <c r="CH67" i="5"/>
  <c r="CH75" i="5"/>
  <c r="CH83" i="5"/>
  <c r="CH91" i="5"/>
  <c r="CH107" i="5"/>
  <c r="CH115" i="5"/>
  <c r="CH131" i="5"/>
  <c r="CH147" i="5"/>
  <c r="CH171" i="5"/>
  <c r="CH187" i="5"/>
  <c r="CJ187" i="5" s="1"/>
  <c r="CH195" i="5"/>
  <c r="CH203" i="5"/>
  <c r="CH56" i="5"/>
  <c r="CH4" i="5"/>
  <c r="CJ4" i="5" s="1"/>
  <c r="CH12" i="5"/>
  <c r="CH20" i="5"/>
  <c r="CH36" i="5"/>
  <c r="CH44" i="5"/>
  <c r="CH52" i="5"/>
  <c r="CH60" i="5"/>
  <c r="CH68" i="5"/>
  <c r="CH84" i="5"/>
  <c r="CH100" i="5"/>
  <c r="CH108" i="5"/>
  <c r="CH116" i="5"/>
  <c r="CH132" i="5"/>
  <c r="CH148" i="5"/>
  <c r="CH156" i="5"/>
  <c r="CH164" i="5"/>
  <c r="CH172" i="5"/>
  <c r="CH180" i="5"/>
  <c r="CH188" i="5"/>
  <c r="CJ188" i="5" s="1"/>
  <c r="CH196" i="5"/>
  <c r="CH204" i="5"/>
  <c r="CH48" i="5"/>
  <c r="CH128" i="5"/>
  <c r="CH184" i="5"/>
  <c r="CH13" i="5"/>
  <c r="CH21" i="5"/>
  <c r="CH37" i="5"/>
  <c r="CH45" i="5"/>
  <c r="CH53" i="5"/>
  <c r="CH61" i="5"/>
  <c r="CH69" i="5"/>
  <c r="CH77" i="5"/>
  <c r="CH93" i="5"/>
  <c r="CH101" i="5"/>
  <c r="CH117" i="5"/>
  <c r="CH125" i="5"/>
  <c r="CH133" i="5"/>
  <c r="CH141" i="5"/>
  <c r="CH149" i="5"/>
  <c r="CH157" i="5"/>
  <c r="CH173" i="5"/>
  <c r="CJ173" i="5" s="1"/>
  <c r="CH189" i="5"/>
  <c r="CH197" i="5"/>
  <c r="CH205" i="5"/>
  <c r="CH6" i="5"/>
  <c r="CJ6" i="5" s="1"/>
  <c r="CH14" i="5"/>
  <c r="CJ14" i="5" s="1"/>
  <c r="CH22" i="5"/>
  <c r="CH38" i="5"/>
  <c r="CH46" i="5"/>
  <c r="CH54" i="5"/>
  <c r="CH62" i="5"/>
  <c r="CH70" i="5"/>
  <c r="CH78" i="5"/>
  <c r="CJ78" i="5" s="1"/>
  <c r="CH86" i="5"/>
  <c r="CH102" i="5"/>
  <c r="CH110" i="5"/>
  <c r="CH118" i="5"/>
  <c r="CH126" i="5"/>
  <c r="CH134" i="5"/>
  <c r="CH150" i="5"/>
  <c r="CH174" i="5"/>
  <c r="CH182" i="5"/>
  <c r="CH190" i="5"/>
  <c r="CH198" i="5"/>
  <c r="CJ198" i="5" s="1"/>
  <c r="CH16" i="5"/>
  <c r="CH80" i="5"/>
  <c r="CH152" i="5"/>
  <c r="CH23" i="5"/>
  <c r="CH31" i="5"/>
  <c r="CH39" i="5"/>
  <c r="CH55" i="5"/>
  <c r="CH63" i="5"/>
  <c r="CH71" i="5"/>
  <c r="CH79" i="5"/>
  <c r="CH87" i="5"/>
  <c r="CH95" i="5"/>
  <c r="CH103" i="5"/>
  <c r="CH111" i="5"/>
  <c r="CH119" i="5"/>
  <c r="CH135" i="5"/>
  <c r="CH143" i="5"/>
  <c r="CJ143" i="5" s="1"/>
  <c r="CH151" i="5"/>
  <c r="CH159" i="5"/>
  <c r="CH167" i="5"/>
  <c r="CH175" i="5"/>
  <c r="CH199" i="5"/>
  <c r="CH2" i="5"/>
  <c r="CH32" i="5"/>
  <c r="CH64" i="5"/>
  <c r="CH112" i="5"/>
  <c r="CH9" i="5"/>
  <c r="CH25" i="5"/>
  <c r="CJ25" i="5" s="1"/>
  <c r="CH33" i="5"/>
  <c r="CJ33" i="5" s="1"/>
  <c r="CH41" i="5"/>
  <c r="CH49" i="5"/>
  <c r="CH57" i="5"/>
  <c r="CH65" i="5"/>
  <c r="CH73" i="5"/>
  <c r="CH81" i="5"/>
  <c r="CJ81" i="5" s="1"/>
  <c r="CH89" i="5"/>
  <c r="CH97" i="5"/>
  <c r="CH105" i="5"/>
  <c r="CH113" i="5"/>
  <c r="CH121" i="5"/>
  <c r="CH129" i="5"/>
  <c r="CH137" i="5"/>
  <c r="CH145" i="5"/>
  <c r="CH153" i="5"/>
  <c r="CH161" i="5"/>
  <c r="CH185" i="5"/>
  <c r="CH193" i="5"/>
  <c r="CH201" i="5"/>
  <c r="CH40" i="5"/>
  <c r="CH72" i="5"/>
  <c r="CH120" i="5"/>
  <c r="CH160" i="5"/>
  <c r="CG16" i="5"/>
  <c r="CG32" i="5"/>
  <c r="CG40" i="5"/>
  <c r="CG48" i="5"/>
  <c r="CG56" i="5"/>
  <c r="CG64" i="5"/>
  <c r="CG72" i="5"/>
  <c r="CG80" i="5"/>
  <c r="CG112" i="5"/>
  <c r="CG120" i="5"/>
  <c r="CG128" i="5"/>
  <c r="CG136" i="5"/>
  <c r="CG152" i="5"/>
  <c r="CG160" i="5"/>
  <c r="CG184" i="5"/>
  <c r="CG192" i="5"/>
  <c r="CG9" i="5"/>
  <c r="CG41" i="5"/>
  <c r="CG49" i="5"/>
  <c r="CJ49" i="5" s="1"/>
  <c r="CG57" i="5"/>
  <c r="CG65" i="5"/>
  <c r="CJ65" i="5" s="1"/>
  <c r="CG73" i="5"/>
  <c r="CG89" i="5"/>
  <c r="CG97" i="5"/>
  <c r="CG105" i="5"/>
  <c r="CG113" i="5"/>
  <c r="CG121" i="5"/>
  <c r="CG129" i="5"/>
  <c r="CG137" i="5"/>
  <c r="CG145" i="5"/>
  <c r="CG153" i="5"/>
  <c r="CG161" i="5"/>
  <c r="CG185" i="5"/>
  <c r="CG193" i="5"/>
  <c r="CG26" i="5"/>
  <c r="CG34" i="5"/>
  <c r="CG50" i="5"/>
  <c r="CG66" i="5"/>
  <c r="CG74" i="5"/>
  <c r="CG82" i="5"/>
  <c r="CG98" i="5"/>
  <c r="CG106" i="5"/>
  <c r="CG114" i="5"/>
  <c r="CG130" i="5"/>
  <c r="CG138" i="5"/>
  <c r="CG146" i="5"/>
  <c r="CG154" i="5"/>
  <c r="CG162" i="5"/>
  <c r="CG170" i="5"/>
  <c r="CG178" i="5"/>
  <c r="CG202" i="5"/>
  <c r="CG3" i="5"/>
  <c r="CG11" i="5"/>
  <c r="CG19" i="5"/>
  <c r="CG43" i="5"/>
  <c r="CG51" i="5"/>
  <c r="CG59" i="5"/>
  <c r="CG67" i="5"/>
  <c r="CG75" i="5"/>
  <c r="CG83" i="5"/>
  <c r="CG91" i="5"/>
  <c r="CG107" i="5"/>
  <c r="CG115" i="5"/>
  <c r="CG131" i="5"/>
  <c r="CG147" i="5"/>
  <c r="CG171" i="5"/>
  <c r="CG195" i="5"/>
  <c r="CG203" i="5"/>
  <c r="CG12" i="5"/>
  <c r="CG20" i="5"/>
  <c r="CG36" i="5"/>
  <c r="CG44" i="5"/>
  <c r="CG52" i="5"/>
  <c r="CG60" i="5"/>
  <c r="CG68" i="5"/>
  <c r="CG84" i="5"/>
  <c r="CG100" i="5"/>
  <c r="CG108" i="5"/>
  <c r="CG116" i="5"/>
  <c r="CG132" i="5"/>
  <c r="CG148" i="5"/>
  <c r="CG156" i="5"/>
  <c r="CG164" i="5"/>
  <c r="CG172" i="5"/>
  <c r="CG180" i="5"/>
  <c r="CG196" i="5"/>
  <c r="CG204" i="5"/>
  <c r="CG13" i="5"/>
  <c r="CG21" i="5"/>
  <c r="CG37" i="5"/>
  <c r="CG45" i="5"/>
  <c r="CG53" i="5"/>
  <c r="CG61" i="5"/>
  <c r="CG69" i="5"/>
  <c r="CG77" i="5"/>
  <c r="CG93" i="5"/>
  <c r="CG101" i="5"/>
  <c r="CG117" i="5"/>
  <c r="CG125" i="5"/>
  <c r="CG133" i="5"/>
  <c r="CG141" i="5"/>
  <c r="CG149" i="5"/>
  <c r="CG157" i="5"/>
  <c r="CG189" i="5"/>
  <c r="CG197" i="5"/>
  <c r="CG205" i="5"/>
  <c r="CG22" i="5"/>
  <c r="CG38" i="5"/>
  <c r="CJ38" i="5" s="1"/>
  <c r="CG46" i="5"/>
  <c r="CJ46" i="5" s="1"/>
  <c r="CG54" i="5"/>
  <c r="CJ54" i="5" s="1"/>
  <c r="CG62" i="5"/>
  <c r="CJ62" i="5" s="1"/>
  <c r="CG70" i="5"/>
  <c r="CJ70" i="5" s="1"/>
  <c r="CG86" i="5"/>
  <c r="CG102" i="5"/>
  <c r="CG110" i="5"/>
  <c r="CG118" i="5"/>
  <c r="CG126" i="5"/>
  <c r="CG134" i="5"/>
  <c r="CG150" i="5"/>
  <c r="CG174" i="5"/>
  <c r="CG182" i="5"/>
  <c r="CG23" i="5"/>
  <c r="CG31" i="5"/>
  <c r="CG39" i="5"/>
  <c r="CG55" i="5"/>
  <c r="CG63" i="5"/>
  <c r="CG71" i="5"/>
  <c r="CG79" i="5"/>
  <c r="CG87" i="5"/>
  <c r="CG95" i="5"/>
  <c r="CG103" i="5"/>
  <c r="CG111" i="5"/>
  <c r="CG119" i="5"/>
  <c r="CG135" i="5"/>
  <c r="CG151" i="5"/>
  <c r="CG159" i="5"/>
  <c r="CG167" i="5"/>
  <c r="CG175" i="5"/>
  <c r="CG199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2" i="5" l="1"/>
  <c r="CH229" i="5"/>
  <c r="CH230" i="5" s="1"/>
  <c r="CJ117" i="5"/>
  <c r="CJ37" i="5"/>
  <c r="CG257" i="5"/>
  <c r="CG258" i="5" s="1"/>
  <c r="CJ201" i="5"/>
  <c r="CH257" i="5"/>
  <c r="CH258" i="5" s="1"/>
  <c r="CH253" i="5"/>
  <c r="CH254" i="5" s="1"/>
  <c r="CG255" i="5"/>
  <c r="CG256" i="5" s="1"/>
  <c r="CH255" i="5"/>
  <c r="CH256" i="5" s="1"/>
  <c r="CG253" i="5"/>
  <c r="CG254" i="5" s="1"/>
  <c r="CG245" i="5"/>
  <c r="CG246" i="5" s="1"/>
  <c r="CH245" i="5"/>
  <c r="CH246" i="5" s="1"/>
  <c r="CJ190" i="5"/>
  <c r="CJ247" i="5" s="1"/>
  <c r="CJ248" i="5" s="1"/>
  <c r="CH247" i="5"/>
  <c r="CH248" i="5" s="1"/>
  <c r="CH242" i="5"/>
  <c r="CH243" i="5" s="1"/>
  <c r="CG242" i="5"/>
  <c r="CG243" i="5" s="1"/>
  <c r="CG229" i="5"/>
  <c r="CG230" i="5" s="1"/>
  <c r="CG227" i="5"/>
  <c r="CH227" i="5"/>
  <c r="CJ41" i="5"/>
  <c r="CJ73" i="5"/>
  <c r="CH226" i="5"/>
  <c r="CJ128" i="5"/>
  <c r="CG226" i="5"/>
  <c r="CH223" i="5"/>
  <c r="CH224" i="5" s="1"/>
  <c r="CG223" i="5"/>
  <c r="CG224" i="5" s="1"/>
  <c r="CJ57" i="5"/>
  <c r="CH221" i="5"/>
  <c r="CH222" i="5" s="1"/>
  <c r="CG221" i="5"/>
  <c r="CG222" i="5" s="1"/>
  <c r="CH218" i="5"/>
  <c r="CH219" i="5" s="1"/>
  <c r="CG218" i="5"/>
  <c r="CG219" i="5" s="1"/>
  <c r="CJ197" i="5"/>
  <c r="CJ147" i="5"/>
  <c r="CJ59" i="5"/>
  <c r="CJ87" i="5"/>
  <c r="CJ152" i="5"/>
  <c r="CJ136" i="5"/>
  <c r="CH216" i="5"/>
  <c r="CH217" i="5" s="1"/>
  <c r="CG216" i="5"/>
  <c r="CG217" i="5" s="1"/>
  <c r="CJ119" i="5"/>
  <c r="CJ55" i="5"/>
  <c r="CJ91" i="5"/>
  <c r="CJ95" i="5"/>
  <c r="CJ102" i="5"/>
  <c r="CJ156" i="5"/>
  <c r="CJ60" i="5"/>
  <c r="CJ193" i="5"/>
  <c r="CJ113" i="5"/>
  <c r="CJ120" i="5"/>
  <c r="CJ159" i="5"/>
  <c r="CJ162" i="5"/>
  <c r="CJ82" i="5"/>
  <c r="CJ134" i="5"/>
  <c r="CJ149" i="5"/>
  <c r="CJ69" i="5"/>
  <c r="CJ108" i="5"/>
  <c r="CJ20" i="5"/>
  <c r="CJ11" i="5"/>
  <c r="CJ203" i="5"/>
  <c r="CJ130" i="5"/>
  <c r="CJ23" i="5"/>
  <c r="CJ205" i="5"/>
  <c r="CJ171" i="5"/>
  <c r="CJ67" i="5"/>
  <c r="CG214" i="5"/>
  <c r="CG215" i="5" s="1"/>
  <c r="CJ18" i="5"/>
  <c r="CH214" i="5"/>
  <c r="CH215" i="5" s="1"/>
  <c r="CJ16" i="5"/>
  <c r="CJ79" i="5"/>
  <c r="CJ189" i="5"/>
  <c r="CJ131" i="5"/>
  <c r="CJ51" i="5"/>
  <c r="CJ34" i="5"/>
  <c r="CJ202" i="5"/>
  <c r="CJ114" i="5"/>
  <c r="CJ167" i="5"/>
  <c r="CJ101" i="5"/>
  <c r="CJ21" i="5"/>
  <c r="CJ170" i="5"/>
  <c r="CJ98" i="5"/>
  <c r="CJ112" i="5"/>
  <c r="CJ151" i="5"/>
  <c r="CJ126" i="5"/>
  <c r="CJ180" i="5"/>
  <c r="CJ100" i="5"/>
  <c r="CJ12" i="5"/>
  <c r="CJ138" i="5"/>
  <c r="CJ50" i="5"/>
  <c r="CJ137" i="5"/>
  <c r="CJ56" i="5"/>
  <c r="CJ32" i="5"/>
  <c r="CJ175" i="5"/>
  <c r="CJ8" i="5"/>
  <c r="CH211" i="5"/>
  <c r="CH212" i="5" s="1"/>
  <c r="CJ9" i="5"/>
  <c r="CG211" i="5"/>
  <c r="CG212" i="5" s="1"/>
  <c r="CH209" i="5"/>
  <c r="CH210" i="5" s="1"/>
  <c r="CJ178" i="5"/>
  <c r="CJ106" i="5"/>
  <c r="CJ174" i="5"/>
  <c r="CJ93" i="5"/>
  <c r="CJ13" i="5"/>
  <c r="CJ132" i="5"/>
  <c r="CJ44" i="5"/>
  <c r="CJ192" i="5"/>
  <c r="CJ80" i="5"/>
  <c r="CJ115" i="5"/>
  <c r="CJ43" i="5"/>
  <c r="CJ72" i="5"/>
  <c r="CJ2" i="5"/>
  <c r="CG209" i="5"/>
  <c r="CG210" i="5" s="1"/>
  <c r="CJ118" i="5"/>
  <c r="CJ133" i="5"/>
  <c r="CJ53" i="5"/>
  <c r="CJ172" i="5"/>
  <c r="CJ84" i="5"/>
  <c r="CJ111" i="5"/>
  <c r="CJ3" i="5"/>
  <c r="CJ199" i="5"/>
  <c r="CJ103" i="5"/>
  <c r="CJ31" i="5"/>
  <c r="CJ110" i="5"/>
  <c r="CJ125" i="5"/>
  <c r="CJ45" i="5"/>
  <c r="CJ164" i="5"/>
  <c r="CJ68" i="5"/>
  <c r="CJ195" i="5"/>
  <c r="CJ75" i="5"/>
  <c r="CJ26" i="5"/>
  <c r="CJ121" i="5"/>
  <c r="CJ40" i="5"/>
  <c r="CJ86" i="5"/>
  <c r="CJ52" i="5"/>
  <c r="CJ105" i="5"/>
  <c r="CJ185" i="5"/>
  <c r="CJ182" i="5"/>
  <c r="CJ148" i="5"/>
  <c r="CJ97" i="5"/>
  <c r="CJ71" i="5"/>
  <c r="CJ77" i="5"/>
  <c r="CJ116" i="5"/>
  <c r="CJ154" i="5"/>
  <c r="CJ153" i="5"/>
  <c r="CJ89" i="5"/>
  <c r="CJ184" i="5"/>
  <c r="CJ161" i="5"/>
  <c r="CJ150" i="5"/>
  <c r="CJ157" i="5"/>
  <c r="CJ204" i="5"/>
  <c r="CJ36" i="5"/>
  <c r="CJ74" i="5"/>
  <c r="CJ135" i="5"/>
  <c r="CJ63" i="5"/>
  <c r="CJ196" i="5"/>
  <c r="CJ107" i="5"/>
  <c r="CJ19" i="5"/>
  <c r="CJ146" i="5"/>
  <c r="CJ66" i="5"/>
  <c r="CJ145" i="5"/>
  <c r="CJ160" i="5"/>
  <c r="CJ64" i="5"/>
  <c r="CJ141" i="5"/>
  <c r="CJ61" i="5"/>
  <c r="CJ39" i="5"/>
  <c r="CJ83" i="5"/>
  <c r="CJ129" i="5"/>
  <c r="CJ48" i="5"/>
  <c r="F80" i="9"/>
  <c r="F45" i="9"/>
  <c r="N22" i="9"/>
  <c r="N21" i="9"/>
  <c r="H51" i="9"/>
  <c r="I51" i="9"/>
  <c r="G51" i="9"/>
  <c r="G43" i="9" s="1"/>
  <c r="CJ253" i="5" l="1"/>
  <c r="CJ254" i="5" s="1"/>
  <c r="M10" i="30" s="1"/>
  <c r="CJ257" i="5"/>
  <c r="CJ258" i="5" s="1"/>
  <c r="CJ227" i="5"/>
  <c r="CJ255" i="5"/>
  <c r="CJ256" i="5" s="1"/>
  <c r="CJ245" i="5"/>
  <c r="CJ246" i="5" s="1"/>
  <c r="M10" i="26" s="1"/>
  <c r="M10" i="27"/>
  <c r="K114" i="10"/>
  <c r="CJ242" i="5"/>
  <c r="CJ243" i="5" s="1"/>
  <c r="CG228" i="5"/>
  <c r="CJ229" i="5"/>
  <c r="CJ230" i="5" s="1"/>
  <c r="M10" i="19" s="1"/>
  <c r="CH228" i="5"/>
  <c r="CJ226" i="5"/>
  <c r="CJ223" i="5"/>
  <c r="CJ224" i="5" s="1"/>
  <c r="CJ221" i="5"/>
  <c r="CJ222" i="5" s="1"/>
  <c r="CJ218" i="5"/>
  <c r="CJ219" i="5" s="1"/>
  <c r="CJ216" i="5"/>
  <c r="CJ217" i="5" s="1"/>
  <c r="M10" i="15" s="1"/>
  <c r="CJ214" i="5"/>
  <c r="CJ215" i="5" s="1"/>
  <c r="CJ209" i="5"/>
  <c r="CJ210" i="5" s="1"/>
  <c r="K4" i="10" s="1"/>
  <c r="CJ211" i="5"/>
  <c r="CJ212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47" i="10" l="1"/>
  <c r="L147" i="10" s="1"/>
  <c r="L150" i="10" s="1"/>
  <c r="M10" i="32"/>
  <c r="K169" i="10"/>
  <c r="M10" i="31"/>
  <c r="K158" i="10"/>
  <c r="CJ228" i="5"/>
  <c r="K70" i="10" s="1"/>
  <c r="M38" i="30"/>
  <c r="M13" i="30"/>
  <c r="AB10" i="30"/>
  <c r="AC10" i="30" s="1"/>
  <c r="N10" i="30"/>
  <c r="N13" i="30" s="1"/>
  <c r="K103" i="10"/>
  <c r="K106" i="10" s="1"/>
  <c r="K117" i="10"/>
  <c r="L114" i="10"/>
  <c r="L117" i="10" s="1"/>
  <c r="M38" i="27"/>
  <c r="M13" i="27"/>
  <c r="AB10" i="27"/>
  <c r="AC10" i="27" s="1"/>
  <c r="N10" i="27"/>
  <c r="N13" i="27" s="1"/>
  <c r="M38" i="26"/>
  <c r="M13" i="26"/>
  <c r="N10" i="26"/>
  <c r="N13" i="26" s="1"/>
  <c r="AB10" i="26"/>
  <c r="AC10" i="26" s="1"/>
  <c r="M10" i="25"/>
  <c r="K92" i="10"/>
  <c r="K81" i="10"/>
  <c r="K84" i="10" s="1"/>
  <c r="AB10" i="19"/>
  <c r="AC10" i="19" s="1"/>
  <c r="M13" i="19"/>
  <c r="M38" i="19"/>
  <c r="N10" i="19"/>
  <c r="N13" i="19" s="1"/>
  <c r="M10" i="17"/>
  <c r="K59" i="10"/>
  <c r="M10" i="16"/>
  <c r="K48" i="10"/>
  <c r="K37" i="10"/>
  <c r="K40" i="10" s="1"/>
  <c r="M13" i="15"/>
  <c r="M38" i="15"/>
  <c r="N10" i="15"/>
  <c r="N13" i="15" s="1"/>
  <c r="AB10" i="15"/>
  <c r="AC10" i="15" s="1"/>
  <c r="K26" i="10"/>
  <c r="M10" i="14"/>
  <c r="M10" i="13"/>
  <c r="K15" i="10"/>
  <c r="M10" i="12"/>
  <c r="N10" i="12" s="1"/>
  <c r="N13" i="12" s="1"/>
  <c r="K7" i="10"/>
  <c r="L4" i="10"/>
  <c r="L7" i="10" s="1"/>
  <c r="H44" i="9"/>
  <c r="N41" i="9"/>
  <c r="N38" i="9"/>
  <c r="J43" i="9"/>
  <c r="K43" i="9" s="1"/>
  <c r="I44" i="9"/>
  <c r="I67" i="9"/>
  <c r="K150" i="10" l="1"/>
  <c r="M13" i="32"/>
  <c r="M38" i="32"/>
  <c r="AB10" i="32"/>
  <c r="AC10" i="32" s="1"/>
  <c r="N10" i="32"/>
  <c r="N13" i="32" s="1"/>
  <c r="K172" i="10"/>
  <c r="L169" i="10"/>
  <c r="L172" i="10" s="1"/>
  <c r="K161" i="10"/>
  <c r="L158" i="10"/>
  <c r="L161" i="10" s="1"/>
  <c r="M38" i="31"/>
  <c r="M13" i="31"/>
  <c r="AB10" i="31"/>
  <c r="AC10" i="31" s="1"/>
  <c r="N10" i="31"/>
  <c r="N13" i="31" s="1"/>
  <c r="M10" i="18"/>
  <c r="M38" i="18" s="1"/>
  <c r="M41" i="30"/>
  <c r="N38" i="30"/>
  <c r="AB38" i="30"/>
  <c r="L103" i="10"/>
  <c r="L106" i="10" s="1"/>
  <c r="M41" i="27"/>
  <c r="AB38" i="27"/>
  <c r="N38" i="27"/>
  <c r="M41" i="26"/>
  <c r="AB38" i="26"/>
  <c r="N38" i="26"/>
  <c r="K95" i="10"/>
  <c r="L92" i="10"/>
  <c r="L95" i="10" s="1"/>
  <c r="M13" i="25"/>
  <c r="M38" i="25"/>
  <c r="AB10" i="25"/>
  <c r="AC10" i="25" s="1"/>
  <c r="N10" i="25"/>
  <c r="N13" i="25" s="1"/>
  <c r="L81" i="10"/>
  <c r="L84" i="10" s="1"/>
  <c r="N38" i="19"/>
  <c r="M41" i="19"/>
  <c r="AB38" i="19"/>
  <c r="K73" i="10"/>
  <c r="L70" i="10"/>
  <c r="L73" i="10" s="1"/>
  <c r="K62" i="10"/>
  <c r="L59" i="10"/>
  <c r="L62" i="10" s="1"/>
  <c r="M38" i="17"/>
  <c r="M13" i="17"/>
  <c r="AB10" i="17"/>
  <c r="AC10" i="17" s="1"/>
  <c r="N10" i="17"/>
  <c r="N13" i="17" s="1"/>
  <c r="K51" i="10"/>
  <c r="L48" i="10"/>
  <c r="L51" i="10" s="1"/>
  <c r="M38" i="16"/>
  <c r="M13" i="16"/>
  <c r="N10" i="16"/>
  <c r="N13" i="16" s="1"/>
  <c r="AB10" i="16"/>
  <c r="AC10" i="16" s="1"/>
  <c r="L37" i="10"/>
  <c r="L40" i="10" s="1"/>
  <c r="AB38" i="15"/>
  <c r="M41" i="15"/>
  <c r="N38" i="15"/>
  <c r="M13" i="14"/>
  <c r="M38" i="14"/>
  <c r="N10" i="14"/>
  <c r="N13" i="14" s="1"/>
  <c r="AB10" i="14"/>
  <c r="AC10" i="14" s="1"/>
  <c r="K29" i="10"/>
  <c r="L26" i="10"/>
  <c r="L29" i="10" s="1"/>
  <c r="K18" i="10"/>
  <c r="L15" i="10"/>
  <c r="L18" i="10" s="1"/>
  <c r="AB10" i="13"/>
  <c r="AC10" i="13" s="1"/>
  <c r="M38" i="13"/>
  <c r="M13" i="13"/>
  <c r="N10" i="13"/>
  <c r="N13" i="13" s="1"/>
  <c r="M13" i="12"/>
  <c r="AB10" i="12"/>
  <c r="AC10" i="12" s="1"/>
  <c r="M38" i="12"/>
  <c r="M41" i="12" s="1"/>
  <c r="I45" i="9"/>
  <c r="J44" i="9"/>
  <c r="K44" i="9" s="1"/>
  <c r="M41" i="32" l="1"/>
  <c r="AB38" i="32"/>
  <c r="N38" i="32"/>
  <c r="M41" i="31"/>
  <c r="N38" i="31"/>
  <c r="AB38" i="31"/>
  <c r="AB10" i="18"/>
  <c r="AC10" i="18" s="1"/>
  <c r="M13" i="18"/>
  <c r="N10" i="18"/>
  <c r="N13" i="18" s="1"/>
  <c r="AB44" i="30"/>
  <c r="AC44" i="30" s="1"/>
  <c r="AC38" i="30"/>
  <c r="N41" i="30"/>
  <c r="I69" i="30"/>
  <c r="N41" i="27"/>
  <c r="I69" i="27"/>
  <c r="AB44" i="27"/>
  <c r="AC44" i="27" s="1"/>
  <c r="AC38" i="27"/>
  <c r="AB44" i="26"/>
  <c r="AC44" i="26" s="1"/>
  <c r="AC38" i="26"/>
  <c r="N41" i="26"/>
  <c r="I69" i="26"/>
  <c r="M41" i="25"/>
  <c r="AB38" i="25"/>
  <c r="N38" i="25"/>
  <c r="N41" i="19"/>
  <c r="I69" i="19"/>
  <c r="AB44" i="19"/>
  <c r="AC44" i="19" s="1"/>
  <c r="AC38" i="19"/>
  <c r="M41" i="18"/>
  <c r="N38" i="18"/>
  <c r="AB38" i="18"/>
  <c r="M41" i="17"/>
  <c r="AB38" i="17"/>
  <c r="N38" i="17"/>
  <c r="M41" i="16"/>
  <c r="AB38" i="16"/>
  <c r="N38" i="16"/>
  <c r="N41" i="15"/>
  <c r="I69" i="15"/>
  <c r="AB44" i="15"/>
  <c r="AC44" i="15" s="1"/>
  <c r="AC38" i="15"/>
  <c r="M41" i="14"/>
  <c r="N38" i="14"/>
  <c r="AB38" i="14"/>
  <c r="M41" i="13"/>
  <c r="AB38" i="13"/>
  <c r="N38" i="13"/>
  <c r="N38" i="12"/>
  <c r="AB38" i="12"/>
  <c r="AC38" i="12" s="1"/>
  <c r="N41" i="12"/>
  <c r="I69" i="12"/>
  <c r="J67" i="9"/>
  <c r="N41" i="32" l="1"/>
  <c r="I69" i="32"/>
  <c r="AB44" i="32"/>
  <c r="AC44" i="32" s="1"/>
  <c r="AC38" i="32"/>
  <c r="N41" i="31"/>
  <c r="I69" i="31"/>
  <c r="AB44" i="31"/>
  <c r="AC44" i="31" s="1"/>
  <c r="AC38" i="31"/>
  <c r="J69" i="30"/>
  <c r="J75" i="30" s="1"/>
  <c r="J80" i="30" s="1"/>
  <c r="I75" i="30"/>
  <c r="I80" i="30" s="1"/>
  <c r="J69" i="27"/>
  <c r="J75" i="27" s="1"/>
  <c r="J80" i="27" s="1"/>
  <c r="I75" i="27"/>
  <c r="I80" i="27" s="1"/>
  <c r="J69" i="26"/>
  <c r="J75" i="26" s="1"/>
  <c r="J80" i="26" s="1"/>
  <c r="I75" i="26"/>
  <c r="I80" i="26" s="1"/>
  <c r="AB44" i="25"/>
  <c r="AC44" i="25" s="1"/>
  <c r="AC38" i="25"/>
  <c r="N41" i="25"/>
  <c r="I69" i="25"/>
  <c r="J69" i="19"/>
  <c r="J75" i="19" s="1"/>
  <c r="J80" i="19" s="1"/>
  <c r="I75" i="19"/>
  <c r="I80" i="19" s="1"/>
  <c r="N41" i="18"/>
  <c r="I69" i="18"/>
  <c r="AB44" i="18"/>
  <c r="AC44" i="18" s="1"/>
  <c r="AC38" i="18"/>
  <c r="AB44" i="17"/>
  <c r="AC44" i="17" s="1"/>
  <c r="AC38" i="17"/>
  <c r="N41" i="17"/>
  <c r="I69" i="17"/>
  <c r="AB44" i="16"/>
  <c r="AC44" i="16" s="1"/>
  <c r="AC38" i="16"/>
  <c r="N41" i="16"/>
  <c r="I69" i="16"/>
  <c r="J69" i="15"/>
  <c r="J75" i="15" s="1"/>
  <c r="J80" i="15" s="1"/>
  <c r="I75" i="15"/>
  <c r="I80" i="15" s="1"/>
  <c r="AB44" i="14"/>
  <c r="AC44" i="14" s="1"/>
  <c r="AC38" i="14"/>
  <c r="N41" i="14"/>
  <c r="I69" i="14"/>
  <c r="AB44" i="13"/>
  <c r="AC44" i="13" s="1"/>
  <c r="AC38" i="13"/>
  <c r="N41" i="13"/>
  <c r="I69" i="13"/>
  <c r="AB44" i="12"/>
  <c r="AC44" i="12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32" l="1"/>
  <c r="J75" i="32" s="1"/>
  <c r="J80" i="32" s="1"/>
  <c r="I75" i="32"/>
  <c r="I80" i="32" s="1"/>
  <c r="J69" i="31"/>
  <c r="J75" i="31" s="1"/>
  <c r="J80" i="31" s="1"/>
  <c r="I75" i="31"/>
  <c r="I80" i="31" s="1"/>
  <c r="J69" i="25"/>
  <c r="J75" i="25" s="1"/>
  <c r="J80" i="25" s="1"/>
  <c r="I75" i="25"/>
  <c r="I80" i="25" s="1"/>
  <c r="J69" i="18"/>
  <c r="J75" i="18" s="1"/>
  <c r="J80" i="18" s="1"/>
  <c r="I75" i="18"/>
  <c r="I80" i="18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4"/>
  <c r="J75" i="14" s="1"/>
  <c r="J80" i="14" s="1"/>
  <c r="I75" i="14"/>
  <c r="I80" i="14" s="1"/>
  <c r="J69" i="13"/>
  <c r="J75" i="13" s="1"/>
  <c r="J80" i="13" s="1"/>
  <c r="I75" i="13"/>
  <c r="I80" i="13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6D8D6E7-76B8-4C4C-ADCC-4B2B6FDC6D1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3D57420-CB4A-4DF6-83F0-4858C9CADFA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7CB7AAE-7C28-41B4-A699-CA643AC4639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6BDD884-5FD1-47DE-828C-05EFA528981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53C3CDB-C9B9-4C5C-AE45-AB87D489A2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E2A6DC7-F0D0-4853-86C4-663862E8978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DE4A388-CAA3-469A-995F-15736B04FE0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BEB4934-3A05-4CBA-8EE8-3052EA894E7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2CCACD-107A-4254-8C35-267B66441FE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6E4508E-284C-4D97-BCD3-3616A722FC7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58C2642-2763-479D-9269-7E7FA8499AC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FEDCAB8-0021-43B4-A92D-9D70A34E95D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051BB51-D028-4065-AE79-3EB65E4E905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CDB913F-FE3B-4F10-8DB9-917089DEF4E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00EB46B-B4E8-41DA-B9C8-20F4DD74B4C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FF65B21-0CAB-4CB4-A965-907E3BF8B65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0D13A05-4385-4533-8545-476E141899C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3084F1C-D55D-4BDC-80F7-346A46A2059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4D6CE34-F588-403E-A558-EC9BF14DF36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BF5AD18-C83A-4B59-8946-D359B84EA5D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A97A755-5E4A-45CE-9E25-3CD87A66121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CB89955-E51E-49C5-A0B1-EA5986D1AD0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1DAFFE6-27D1-47DF-9EE5-1C67DB13C9B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B649B6C-00F1-47BD-AF35-0DE93BE3933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A2216AC-FC39-4BA3-ADBE-3D44C1D05B7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82F0922-F417-4C9C-A9CD-A781684F5F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F149E5C-EC4B-486D-996F-7E8CACAA0FE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D31E1CC-D061-4AC7-9786-67A9893D1E4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3401263-312D-40DD-87CD-4EE045BED73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9ACCD1F-5488-499F-B25A-98E808BF897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5D93861-DCC1-4CEF-9149-DF0147F64A4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EABE783-8170-4BAC-82C0-19C7FEC109B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E28E82A-5E9C-48C2-900C-3AF8E75991B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5AE06B6-82CE-44EF-A347-08C4C226943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F759B8F-47DD-4DAC-9392-E2E24F88471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4EF0E32-508D-41A2-B284-F7E024BDDB8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96A61AC-5C79-4BCB-8E29-1F7583AB4E5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BC047F5-993A-4393-9CC5-C82691BAC75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8FEEADA-94DC-405D-AC0A-09C8FBA35FE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85D606D-286A-49B3-8AB1-F1205CC8826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7271FDD-C66F-44BE-9CA4-5EC8CE8F1F5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4A5F198-BFEA-40B6-8736-3DB4FCD9D01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9EEA8C7-9CD9-4DA2-A6A2-E1F3A7A3B7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89658D1-5845-48F5-836A-1AEA8DF6134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0ED443A-62B4-4D43-826F-3D86B617727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9AD69F4-2865-418B-9AAA-D5674BB2106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A1B4CA4-B1B1-458C-889F-CF4F25F9892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E51E5C3-8C92-4476-8D05-68097AB7180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8678ACB-0C0B-4C7D-B3AD-835F5DFCA6D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D10551D-4629-45B4-B3A5-B65904CB7FC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5828D60-5AD1-4FBC-ABAE-0672521BB06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C78FA75-0CD2-43E9-A047-B31737DC21E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779CD78-B8C9-49A8-A626-B6296C39EB7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45B3A5A-FBCE-4BE2-8710-24384AFF126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3E03B98-2F26-4782-82B0-993A1DACBFB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F508528-24CC-469E-9AAB-8B3B25F9F67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5544F1E-0753-4442-8261-C9A99AAD116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6E2EA14-30DC-4D8F-A481-D0CF7630785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B7A9E7C-E150-43D8-BE1D-3F1C95E83EB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B90DC88-F3DA-477B-9133-BF89EAB409A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1E10120-B9F7-43D5-9C01-BDC6226E691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4049DE8-AD84-47FF-93F2-3BF29F8483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125A6C2-4C7B-4607-938C-121E9A21AE1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5B7AC93-08DF-413E-B08B-FB85B7DF0E2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DC0CE30-216E-4BEB-8393-E2578C152D7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78608F3-2EE9-48DA-ADEA-9B8F02A57B9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FDC1D27-45F6-4EC8-BFFF-60225CF2BA9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0F92B60-6C6F-4237-BA61-7ED972824A5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D81A7EB-D13E-4F48-9348-40FC472E583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C0DFDF4-937A-466B-A996-C0F2FEC92F8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264444A-5AF6-4AE9-844E-95223B29E4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F27177E-70AF-4A42-AC87-A21926643EC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790E36C2-2730-4594-AE11-64174F3995E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E0F7B190-B750-46B3-81E1-225365EAFC2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19569033-B0F0-4E65-95AD-B467D139B8E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D8ED6BA2-A058-4206-B7B4-5066A6624C0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F1342535-06FC-4D66-AFB7-111CC7E4985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9AE17C67-6281-4745-9C61-580A734E55B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0683C75E-DC08-41FE-ACD9-49DB118AF31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FF4FC156-BA38-4355-8013-48BD54815C4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FF9710D9-B8E6-408D-B730-CDBC0A6EFDE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A37900EA-5BDB-4D66-8040-27BDEAA06C1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12D23CF4-FF28-4F0C-BD43-E803DEF2A14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1FCBEED3-0C82-4F33-B46C-7754B59D38E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4" authorId="0" shapeId="0" xr:uid="{D30B72BB-1D84-4834-B62E-F8813C9A52E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45" authorId="0" shapeId="0" xr:uid="{750AB735-7ED5-4487-BFE8-90EE215F9A5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56" authorId="0" shapeId="0" xr:uid="{633413D0-7D9D-4BE2-B550-9C673826CD5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67" authorId="0" shapeId="0" xr:uid="{2E260FD6-AC35-4662-BCF6-8AC48D58150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CD5EEDE-2B58-43D8-AA18-960617D99C9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C011E41-2892-4516-B39E-CFDD3F0A9E8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3885F26-0CC8-4777-8194-D1739D42BDF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B7443A0-5FDB-471C-9C46-AC4D519B631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221F2C0-7282-41AA-84DE-9DDA202DD7E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E71A41F-F84E-4E3E-A26D-1FF36BA7208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2A2DEF-C9F6-4B8C-85DA-0DBCE64680C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4A3F503-49F4-4F77-8B89-B4AA85DEE4D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DE7D2A3-FF6F-4C6D-96A3-167B3F687C2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B6ED2B5-E976-4074-9C1C-133236E4629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D20CCB3-3A25-47DB-AE03-413CEF80619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9B94FA0-4191-4FAE-BB99-4C8A9A07A44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8CABC32-9950-4E64-93F6-CCF5B65AF53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9B8727E-D5E5-4EF2-8757-E7DE9171CAC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F8CC7B1-13F4-47F1-B317-DBB8AC82476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4F84737-CD45-4C47-83C7-042D14F08A0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6C45110-93F1-45FC-9FFE-21AE7AC558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0563B67-8C27-4F27-8EF1-713BCBFEAAC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2A83687-6934-464B-84F7-0C33CEE38DA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833BF8D-45E9-4A18-A73D-8EDE0D72A32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2A155EF-74AC-420F-9271-B4F2EDE60E0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1CE0F4F-67A2-4F22-8131-87E4BECA225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B98DAE6-8C01-4080-A6E9-CE31CB4808C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01C33E1-3D3C-4697-B4A5-7D1E811D24A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B65EA2D-01A1-411F-90FB-6391B26E06C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5CE75EA-C363-419C-88C1-141EED44993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3645E54-0E88-4892-8CFC-34D50CA4695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72A8095-06D9-4B7A-BB32-F3BAD923595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07CE2AB-B399-4C5D-97FA-DD7E80DAC2A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26D3105-3D82-42F8-A847-D098A673F08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265B33C-1B78-4734-9747-95B6DF9A27A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D39A497-FF5F-4654-89BE-929195B23EC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B361C2D-BA54-4A99-A450-2CD92449CE5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E265B54-2327-4E7B-8434-5FE812F4A91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29D1B08-6C31-4173-A2B7-E748DAC0F9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BF49FD0-E225-4072-8D4C-28AC1020A3F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47926A0-5407-4B94-9FFB-582659B4FDC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0C0FAD8-6285-4C6B-9682-5D772AC5AEF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88CCCD8-C5E8-4D8E-9F6E-F3E0A80E070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A35FE64-EE13-4303-B3F0-13C994B7732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7570C06-A758-4FB2-AC74-F33E3DC2F8B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2141EAC-461F-4F64-8148-5A030FF6975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3C42D4F-DE51-4450-B955-FFD80925F14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6BB58EE-940A-43E8-9CFB-D1EC39E411B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42BEA12-2197-4E97-AE83-ABBFC8E67C4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C0C7602-7A07-45DA-A086-82A8D4B8F32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5CAF182-C673-48B1-9B33-82617A121A5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BC0D692-B387-41D6-9111-7C3A50F6B50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7BE96DC-44F5-427F-B555-E4BBB00CD33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52C55AD-10E4-4445-B0BD-B6E25D2D369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B41D57C-7B73-4D1F-A622-A3C8F03B24C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342B235-F31F-49FF-B42D-5B67E724386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8D0ADA8-84B5-4684-9936-157B105AC8A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9F6106E-5EB5-45E7-91CE-07392ACF6A6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525F8EA-157E-4FF1-A33D-337C2F944CA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E314E58-2843-43E6-B3AF-761FF7CFE2C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7461814-A357-4998-8AA8-7073AC32D1D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AF973B2-5465-4705-AFC5-219ECC18766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E059C0F-A21A-49FE-949A-3E4EC43EB6A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BFF74FC-EBAF-470E-A5E1-00A97DCF314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76AD573-949B-4D5A-AD74-EE5A7887941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A5EB1C4-2FEB-4F6B-9CB5-849B0059B89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1488C91-15F8-41E6-B127-70C9C52A1F5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9016C2C-FF33-4FF3-AC65-313D7B55A5E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92B3D5A-3A6C-4E64-BA16-FBA58821D17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96BC2FE-7BBF-4329-ACD8-ACFA8E95A1E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B8BAE7F-5609-407A-9781-0789325C468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3DB5F67-908F-49A9-88F4-3F48782E2BB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CB33E99-E65E-40C9-9C20-72FF0FEC09E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66F7A13-A241-4CFF-8318-2DA2B13B158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F043FE2-C6A8-4CAD-B788-C571FB25AF2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1E13E7A-5B16-4BFF-812F-E59A7995433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<sst xmlns="http://schemas.openxmlformats.org/spreadsheetml/2006/main" count="6713" uniqueCount="1002">
  <si>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</si>
  <si>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</si>
  <si>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</si>
  <si>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</si>
  <si>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</si>
  <si>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</si>
  <si>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</si>
  <si>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</si>
  <si>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</si>
  <si>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</si>
  <si>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</si>
  <si>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</si>
  <si>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</si>
  <si>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</si>
  <si>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</si>
  <si>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</si>
  <si>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</si>
  <si>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</si>
  <si>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</si>
  <si>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</si>
  <si>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</si>
  <si>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</si>
  <si>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</si>
  <si>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</si>
  <si>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</si>
  <si>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</si>
  <si>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</si>
  <si>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</si>
  <si>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</si>
  <si>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</si>
  <si>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</si>
  <si>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</si>
  <si>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</si>
  <si>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</si>
  <si>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</si>
  <si>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</si>
  <si>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</si>
  <si>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</si>
  <si>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</si>
  <si>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</si>
  <si>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</si>
  <si>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</si>
  <si>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</si>
  <si>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</si>
  <si>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</si>
  <si>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</si>
  <si>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</si>
  <si>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</si>
  <si>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</si>
  <si>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</si>
  <si>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</si>
  <si>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</si>
  <si>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</si>
  <si>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</si>
  <si>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</si>
  <si>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</si>
  <si>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</si>
  <si>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</si>
  <si>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</si>
  <si>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</si>
  <si>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</si>
  <si>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</si>
  <si>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</si>
  <si>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</si>
  <si>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</si>
  <si>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</si>
  <si>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</si>
  <si>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</si>
  <si>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</si>
  <si>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</si>
  <si>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</si>
  <si>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</si>
  <si>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</si>
  <si>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</si>
  <si>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</si>
  <si>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</si>
  <si>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</si>
  <si>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</si>
  <si>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</si>
  <si>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</si>
  <si>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</si>
  <si>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</si>
  <si>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</si>
  <si>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</si>
  <si>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</si>
  <si>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</si>
  <si>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</si>
  <si>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</si>
  <si>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</si>
  <si>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</si>
  <si>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</si>
  <si>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</si>
  <si>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</si>
  <si>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</si>
  <si>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</si>
  <si>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</si>
  <si>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</si>
  <si>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</si>
  <si>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</si>
  <si>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</si>
  <si>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</si>
  <si>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</si>
  <si>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</si>
  <si>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</si>
  <si>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</si>
  <si>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</si>
  <si>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</si>
  <si>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</si>
  <si>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</si>
  <si>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</si>
  <si>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</si>
  <si>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</si>
  <si>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</si>
  <si>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</si>
  <si>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</si>
  <si>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</si>
  <si>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</si>
  <si>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</si>
  <si>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</si>
  <si>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</si>
  <si>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</si>
  <si>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</si>
  <si>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</si>
  <si>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</si>
  <si>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</si>
  <si>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</si>
  <si>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</si>
  <si>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</si>
  <si>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</si>
  <si>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</si>
  <si>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</si>
  <si>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</si>
  <si>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</si>
  <si>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</si>
  <si>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</si>
  <si>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</si>
  <si>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</si>
  <si>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</si>
  <si>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</si>
  <si>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</si>
  <si>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</si>
  <si>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</si>
  <si>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</si>
  <si>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</si>
  <si>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</si>
  <si>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</si>
  <si>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</si>
  <si>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</si>
  <si>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</si>
  <si>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</si>
  <si>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</si>
  <si>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</si>
  <si>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</si>
  <si>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</si>
  <si>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</si>
  <si>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</si>
  <si>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</si>
  <si>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</si>
  <si>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</si>
  <si>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</si>
  <si>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</si>
  <si>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</si>
  <si>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200</t>
  </si>
  <si>
    <t>5121</t>
  </si>
  <si>
    <t>FINANCIAL SPECIALIST</t>
  </si>
  <si>
    <t>0001</t>
  </si>
  <si>
    <t>00</t>
  </si>
  <si>
    <t>ADAA</t>
  </si>
  <si>
    <t>004</t>
  </si>
  <si>
    <t>04245</t>
  </si>
  <si>
    <t>L</t>
  </si>
  <si>
    <t>F</t>
  </si>
  <si>
    <t>CR</t>
  </si>
  <si>
    <t>CASIANO, GENEVIEVE D.</t>
  </si>
  <si>
    <t>CASIANO</t>
  </si>
  <si>
    <t>GENEVIEVE</t>
  </si>
  <si>
    <t>DUGDALE</t>
  </si>
  <si>
    <t xml:space="preserve">HL   </t>
  </si>
  <si>
    <t>H</t>
  </si>
  <si>
    <t>FS</t>
  </si>
  <si>
    <t>E</t>
  </si>
  <si>
    <t>N</t>
  </si>
  <si>
    <t>Y</t>
  </si>
  <si>
    <t xml:space="preserve">    </t>
  </si>
  <si>
    <t>1037</t>
  </si>
  <si>
    <t xml:space="preserve">PROGRAM SPECIALIST  </t>
  </si>
  <si>
    <t>001</t>
  </si>
  <si>
    <t>05274</t>
  </si>
  <si>
    <t>K</t>
  </si>
  <si>
    <t>RAU, KIMBERLY D.</t>
  </si>
  <si>
    <t>RAU</t>
  </si>
  <si>
    <t>KIMBERLY</t>
  </si>
  <si>
    <t>DIONNE</t>
  </si>
  <si>
    <t xml:space="preserve">HK   </t>
  </si>
  <si>
    <t>1000</t>
  </si>
  <si>
    <t>DIRECTOR- DEPT OF AD</t>
  </si>
  <si>
    <t>007</t>
  </si>
  <si>
    <t>20300</t>
  </si>
  <si>
    <t>NR</t>
  </si>
  <si>
    <t>REYNOLDS, DONALD K.</t>
  </si>
  <si>
    <t>REYNOLDS</t>
  </si>
  <si>
    <t>DONALD</t>
  </si>
  <si>
    <t>KEITH</t>
  </si>
  <si>
    <t>00000</t>
  </si>
  <si>
    <t>9900</t>
  </si>
  <si>
    <t xml:space="preserve">TEMPORARY EMPLOYEES </t>
  </si>
  <si>
    <t>95000</t>
  </si>
  <si>
    <t>V</t>
  </si>
  <si>
    <t>NG</t>
  </si>
  <si>
    <t>5470</t>
  </si>
  <si>
    <t xml:space="preserve">DEPUTY DIRECTOR     </t>
  </si>
  <si>
    <t>21329</t>
  </si>
  <si>
    <t>BAILEY, STEVEN B.</t>
  </si>
  <si>
    <t>BAILEY</t>
  </si>
  <si>
    <t>STEVEN</t>
  </si>
  <si>
    <t>BRADLEY</t>
  </si>
  <si>
    <t>0365</t>
  </si>
  <si>
    <t>1005</t>
  </si>
  <si>
    <t xml:space="preserve">HUMAN RESOURCE SPEC </t>
  </si>
  <si>
    <t>005</t>
  </si>
  <si>
    <t>05141</t>
  </si>
  <si>
    <t>5111</t>
  </si>
  <si>
    <t>HUMAN RESOURCE OFFIC</t>
  </si>
  <si>
    <t>05131</t>
  </si>
  <si>
    <t>O</t>
  </si>
  <si>
    <t>THIEL, KAREN D.</t>
  </si>
  <si>
    <t>THIEL</t>
  </si>
  <si>
    <t>KAREN</t>
  </si>
  <si>
    <t>D</t>
  </si>
  <si>
    <t xml:space="preserve">HO   </t>
  </si>
  <si>
    <t>5109</t>
  </si>
  <si>
    <t>006</t>
  </si>
  <si>
    <t>04246</t>
  </si>
  <si>
    <t>CHRISTIAN, SANDRA L.</t>
  </si>
  <si>
    <t>CHRISTIAN</t>
  </si>
  <si>
    <t>SANDRA</t>
  </si>
  <si>
    <t>LYNN</t>
  </si>
  <si>
    <t>5107</t>
  </si>
  <si>
    <t>JONES, SHERI L.</t>
  </si>
  <si>
    <t>JONES</t>
  </si>
  <si>
    <t>SHERI</t>
  </si>
  <si>
    <t>9905</t>
  </si>
  <si>
    <t>002</t>
  </si>
  <si>
    <t>0320</t>
  </si>
  <si>
    <t>FINANCIAL TECHNICIAN</t>
  </si>
  <si>
    <t>04248</t>
  </si>
  <si>
    <t>DELEON GUERRERO, ARVIN P.</t>
  </si>
  <si>
    <t>DELEON GUERRERO</t>
  </si>
  <si>
    <t>ARVIN</t>
  </si>
  <si>
    <t>P</t>
  </si>
  <si>
    <t xml:space="preserve">HH   </t>
  </si>
  <si>
    <t>0450</t>
  </si>
  <si>
    <t>14</t>
  </si>
  <si>
    <t>5215</t>
  </si>
  <si>
    <t xml:space="preserve">TECH RECORDS SPEC 1 </t>
  </si>
  <si>
    <t>01104</t>
  </si>
  <si>
    <t>THORPE, PENNY L.</t>
  </si>
  <si>
    <t>THORPE</t>
  </si>
  <si>
    <t>PENNY</t>
  </si>
  <si>
    <t>0029</t>
  </si>
  <si>
    <t>BIRK, PEGGY A.</t>
  </si>
  <si>
    <t>BIRK</t>
  </si>
  <si>
    <t>PEGGY</t>
  </si>
  <si>
    <t>A</t>
  </si>
  <si>
    <t>0519</t>
  </si>
  <si>
    <t>0220</t>
  </si>
  <si>
    <t>DPW CONSTRUCTION REP</t>
  </si>
  <si>
    <t>ADAC</t>
  </si>
  <si>
    <t>06502</t>
  </si>
  <si>
    <t>J</t>
  </si>
  <si>
    <t>LIEBELT-BORSDORF, JEREMY D.</t>
  </si>
  <si>
    <t>LIEBELT-BORSDORF</t>
  </si>
  <si>
    <t>JEREMY</t>
  </si>
  <si>
    <t>DAVID</t>
  </si>
  <si>
    <t xml:space="preserve">HJ   </t>
  </si>
  <si>
    <t>0210</t>
  </si>
  <si>
    <t xml:space="preserve">TURK, BRAD </t>
  </si>
  <si>
    <t>TURK</t>
  </si>
  <si>
    <t>BRAD</t>
  </si>
  <si>
    <t xml:space="preserve">              </t>
  </si>
  <si>
    <t>0200</t>
  </si>
  <si>
    <t xml:space="preserve">DPW PROJECT MANAGER </t>
  </si>
  <si>
    <t>06500</t>
  </si>
  <si>
    <t>M</t>
  </si>
  <si>
    <t>JULIAN, JOHN S.</t>
  </si>
  <si>
    <t>JULIAN</t>
  </si>
  <si>
    <t>JOHN</t>
  </si>
  <si>
    <t>S</t>
  </si>
  <si>
    <t xml:space="preserve">HM   </t>
  </si>
  <si>
    <t>0190</t>
  </si>
  <si>
    <t>GIBLER, ANDREW N.</t>
  </si>
  <si>
    <t>GIBLER</t>
  </si>
  <si>
    <t>ANDREW</t>
  </si>
  <si>
    <t>0120</t>
  </si>
  <si>
    <t>FIELD REPRESENTATIVE</t>
  </si>
  <si>
    <t>06501</t>
  </si>
  <si>
    <t>BERRY, BRUCE M.</t>
  </si>
  <si>
    <t>BERRY</t>
  </si>
  <si>
    <t>BRUCE</t>
  </si>
  <si>
    <t>MICHAEL</t>
  </si>
  <si>
    <t>0110</t>
  </si>
  <si>
    <t>ARCHITECT/ENG PRJ MG</t>
  </si>
  <si>
    <t>06499</t>
  </si>
  <si>
    <t>KENNEDY, MARJORIE A.</t>
  </si>
  <si>
    <t>KENNEDY</t>
  </si>
  <si>
    <t>MARJORIE</t>
  </si>
  <si>
    <t>ANN</t>
  </si>
  <si>
    <t xml:space="preserve">HN   </t>
  </si>
  <si>
    <t>0100</t>
  </si>
  <si>
    <t xml:space="preserve">ADMIN-PUBLIC WORKS  </t>
  </si>
  <si>
    <t>20301</t>
  </si>
  <si>
    <t>DONALDSON, PATRICK D.</t>
  </si>
  <si>
    <t>DONALDSON</t>
  </si>
  <si>
    <t>PATRICK</t>
  </si>
  <si>
    <t>0015</t>
  </si>
  <si>
    <t>RICHARDS, ROBERT F.</t>
  </si>
  <si>
    <t>RICHARDS</t>
  </si>
  <si>
    <t>ROBERT</t>
  </si>
  <si>
    <t>FRED</t>
  </si>
  <si>
    <t>0009</t>
  </si>
  <si>
    <t xml:space="preserve">BUSINESS OPERATIONS </t>
  </si>
  <si>
    <t>05275</t>
  </si>
  <si>
    <t>HANSON, NICOLE A.</t>
  </si>
  <si>
    <t>HANSON</t>
  </si>
  <si>
    <t>NICOLE</t>
  </si>
  <si>
    <t>0340</t>
  </si>
  <si>
    <t xml:space="preserve">SPENCER, CODY </t>
  </si>
  <si>
    <t>SPENCER</t>
  </si>
  <si>
    <t>CODY</t>
  </si>
  <si>
    <t>4370</t>
  </si>
  <si>
    <t>0338</t>
  </si>
  <si>
    <t>HILL, ELAINE M.</t>
  </si>
  <si>
    <t>HILL</t>
  </si>
  <si>
    <t>ELAINE</t>
  </si>
  <si>
    <t>0334</t>
  </si>
  <si>
    <t>FRENCH, MARC F.</t>
  </si>
  <si>
    <t>FRENCH</t>
  </si>
  <si>
    <t>MARC</t>
  </si>
  <si>
    <t>FREDERICK</t>
  </si>
  <si>
    <t>0333</t>
  </si>
  <si>
    <t>POWERS, NATHAN A.</t>
  </si>
  <si>
    <t>POWERS</t>
  </si>
  <si>
    <t>NATHAN</t>
  </si>
  <si>
    <t>AARON</t>
  </si>
  <si>
    <t>0331</t>
  </si>
  <si>
    <t>SCHLICKENMEYER, MARK E.</t>
  </si>
  <si>
    <t>SCHLICKENMEYER</t>
  </si>
  <si>
    <t>MARK</t>
  </si>
  <si>
    <t>0330</t>
  </si>
  <si>
    <t>BOYD, BRIAN K.</t>
  </si>
  <si>
    <t>BOYD</t>
  </si>
  <si>
    <t>BRIAN</t>
  </si>
  <si>
    <t>0329</t>
  </si>
  <si>
    <t xml:space="preserve">ROOFING PRG SUPV    </t>
  </si>
  <si>
    <t>06507</t>
  </si>
  <si>
    <t>LEWIS, JOSHUA J.</t>
  </si>
  <si>
    <t>LEWIS</t>
  </si>
  <si>
    <t>JOSHUA</t>
  </si>
  <si>
    <t>0328</t>
  </si>
  <si>
    <t>LEASING PROGRAM MANA</t>
  </si>
  <si>
    <t>04840</t>
  </si>
  <si>
    <t>BRIEN, RICHARD S.</t>
  </si>
  <si>
    <t>BRIEN</t>
  </si>
  <si>
    <t>RICHARD</t>
  </si>
  <si>
    <t>STEED</t>
  </si>
  <si>
    <t>0327</t>
  </si>
  <si>
    <t>HARRELL, REID P.</t>
  </si>
  <si>
    <t>HARRELL</t>
  </si>
  <si>
    <t>REID</t>
  </si>
  <si>
    <t>0326</t>
  </si>
  <si>
    <t>WEERSING, RUTH S.</t>
  </si>
  <si>
    <t>WEERSING</t>
  </si>
  <si>
    <t>RUTH</t>
  </si>
  <si>
    <t>SYDNEE</t>
  </si>
  <si>
    <t>0325</t>
  </si>
  <si>
    <t>ERB, LINDSAY E.</t>
  </si>
  <si>
    <t>ERB</t>
  </si>
  <si>
    <t>LINDSAY</t>
  </si>
  <si>
    <t>ELIZABETH</t>
  </si>
  <si>
    <t>0130</t>
  </si>
  <si>
    <t>0324</t>
  </si>
  <si>
    <t>SWANSON, KRISTINE A.</t>
  </si>
  <si>
    <t>SWANSON</t>
  </si>
  <si>
    <t>KRISTINE</t>
  </si>
  <si>
    <t>0323</t>
  </si>
  <si>
    <t xml:space="preserve">CONSTRUCTION MGR 1  </t>
  </si>
  <si>
    <t>03016</t>
  </si>
  <si>
    <t>BERARD, KELLY A.</t>
  </si>
  <si>
    <t>BERARD</t>
  </si>
  <si>
    <t>KELLY</t>
  </si>
  <si>
    <t>0322</t>
  </si>
  <si>
    <t xml:space="preserve">SANTOYO, MARTIN </t>
  </si>
  <si>
    <t>SANTOYO</t>
  </si>
  <si>
    <t>MARTIN</t>
  </si>
  <si>
    <t>0321</t>
  </si>
  <si>
    <t xml:space="preserve">DESIGN &amp; CONSTRUCTN </t>
  </si>
  <si>
    <t>06505</t>
  </si>
  <si>
    <t>MILLER, BARRY J.</t>
  </si>
  <si>
    <t>MILLER</t>
  </si>
  <si>
    <t>BARRY</t>
  </si>
  <si>
    <t>0317</t>
  </si>
  <si>
    <t>GROFF, GARY W.</t>
  </si>
  <si>
    <t>GROFF</t>
  </si>
  <si>
    <t>GARY</t>
  </si>
  <si>
    <t>W</t>
  </si>
  <si>
    <t>4121</t>
  </si>
  <si>
    <t xml:space="preserve">HVAC SPECIALIST     </t>
  </si>
  <si>
    <t>26</t>
  </si>
  <si>
    <t>06616</t>
  </si>
  <si>
    <t>HINCK, JOSHUA D.</t>
  </si>
  <si>
    <t>HINCK</t>
  </si>
  <si>
    <t>4120</t>
  </si>
  <si>
    <t xml:space="preserve">MAINT CRAFTSMAN SR  </t>
  </si>
  <si>
    <t>06632</t>
  </si>
  <si>
    <t>WILLIAMS, NICHOLAS D.</t>
  </si>
  <si>
    <t>WILLIAMS</t>
  </si>
  <si>
    <t>NICHOLAS</t>
  </si>
  <si>
    <t>4119</t>
  </si>
  <si>
    <t>MURPHY, DRAYTON R.</t>
  </si>
  <si>
    <t>MURPHY</t>
  </si>
  <si>
    <t>DRAYTON</t>
  </si>
  <si>
    <t>RIVERS</t>
  </si>
  <si>
    <t>4118</t>
  </si>
  <si>
    <t>RIGSBY, K R.</t>
  </si>
  <si>
    <t>RIGSBY</t>
  </si>
  <si>
    <t>R</t>
  </si>
  <si>
    <t>4117</t>
  </si>
  <si>
    <t>OLLERENSHAW, JUSTIN R.</t>
  </si>
  <si>
    <t>OLLERENSHAW</t>
  </si>
  <si>
    <t>JUSTIN</t>
  </si>
  <si>
    <t>4113</t>
  </si>
  <si>
    <t>TAYLOR, SCOTT L.</t>
  </si>
  <si>
    <t>TAYLOR</t>
  </si>
  <si>
    <t>SCOTT</t>
  </si>
  <si>
    <t>LEROY</t>
  </si>
  <si>
    <t>4112</t>
  </si>
  <si>
    <t>BOUTHILLIER, STEVEN S.</t>
  </si>
  <si>
    <t>BOUTHILLIER</t>
  </si>
  <si>
    <t>0341</t>
  </si>
  <si>
    <t xml:space="preserve">TECH RECORDS SPEC 2 </t>
  </si>
  <si>
    <t>01103</t>
  </si>
  <si>
    <t>I</t>
  </si>
  <si>
    <t>LAMING, MICHAEL T.</t>
  </si>
  <si>
    <t>LAMING</t>
  </si>
  <si>
    <t>THOMAS</t>
  </si>
  <si>
    <t xml:space="preserve">HI   </t>
  </si>
  <si>
    <t>0339</t>
  </si>
  <si>
    <t>KNUDSON, KYLE R.</t>
  </si>
  <si>
    <t>KNUDSON</t>
  </si>
  <si>
    <t>KYLE</t>
  </si>
  <si>
    <t>0336</t>
  </si>
  <si>
    <t xml:space="preserve">ADMIN ASST 1        </t>
  </si>
  <si>
    <t>01235</t>
  </si>
  <si>
    <t>BROOME, MELISSA A.</t>
  </si>
  <si>
    <t>BROOME</t>
  </si>
  <si>
    <t>MELISSA</t>
  </si>
  <si>
    <t>0315</t>
  </si>
  <si>
    <t>BUILDING FAC MAINT F</t>
  </si>
  <si>
    <t>06624</t>
  </si>
  <si>
    <t>MANGUM, LANCE J.</t>
  </si>
  <si>
    <t>MANGUM</t>
  </si>
  <si>
    <t>LANCE</t>
  </si>
  <si>
    <t>9491</t>
  </si>
  <si>
    <t>0314</t>
  </si>
  <si>
    <t>BONILLA-LICONA, SAUL I.</t>
  </si>
  <si>
    <t>BONILLA-LICONA</t>
  </si>
  <si>
    <t>SAUL</t>
  </si>
  <si>
    <t>ISAI</t>
  </si>
  <si>
    <t>5120</t>
  </si>
  <si>
    <t xml:space="preserve">ADMIN-SECURITY      </t>
  </si>
  <si>
    <t>20324</t>
  </si>
  <si>
    <t>MUELLER, BERT J.</t>
  </si>
  <si>
    <t>MUELLER</t>
  </si>
  <si>
    <t>BERT</t>
  </si>
  <si>
    <t>JOSEPH</t>
  </si>
  <si>
    <t>16175</t>
  </si>
  <si>
    <t>0240</t>
  </si>
  <si>
    <t>FOX, KERI M.</t>
  </si>
  <si>
    <t>FOX</t>
  </si>
  <si>
    <t>KERI</t>
  </si>
  <si>
    <t>MARIE</t>
  </si>
  <si>
    <t>5110</t>
  </si>
  <si>
    <t>FACILITY SERVICES MG</t>
  </si>
  <si>
    <t>06604</t>
  </si>
  <si>
    <t>RICE, APRIL L.</t>
  </si>
  <si>
    <t>RICE</t>
  </si>
  <si>
    <t>APRIL</t>
  </si>
  <si>
    <t>4512</t>
  </si>
  <si>
    <t xml:space="preserve">FACILITIES MANAGER  </t>
  </si>
  <si>
    <t>03042</t>
  </si>
  <si>
    <t>JOHNSTON, RIC W.</t>
  </si>
  <si>
    <t>JOHNSTON</t>
  </si>
  <si>
    <t>RIC</t>
  </si>
  <si>
    <t>4511</t>
  </si>
  <si>
    <t>JENSEN, BRUCE R.</t>
  </si>
  <si>
    <t>JENSEN</t>
  </si>
  <si>
    <t>RALPH</t>
  </si>
  <si>
    <t>4510</t>
  </si>
  <si>
    <t>COLE, ROBERT B.</t>
  </si>
  <si>
    <t>COLE</t>
  </si>
  <si>
    <t>B</t>
  </si>
  <si>
    <t>4509</t>
  </si>
  <si>
    <t>SECURITY MANAGER, ST</t>
  </si>
  <si>
    <t>01942</t>
  </si>
  <si>
    <t>WALKER, STEPHEN J.</t>
  </si>
  <si>
    <t>WALKER</t>
  </si>
  <si>
    <t>STEPHEN</t>
  </si>
  <si>
    <t>4127</t>
  </si>
  <si>
    <t xml:space="preserve">ELECTRICIAN         </t>
  </si>
  <si>
    <t>06538</t>
  </si>
  <si>
    <t>4508</t>
  </si>
  <si>
    <t>BUILDING SUPERINTEND</t>
  </si>
  <si>
    <t>06648</t>
  </si>
  <si>
    <t>THACKER, DANIEL G.</t>
  </si>
  <si>
    <t>THACKER</t>
  </si>
  <si>
    <t>DANIEL</t>
  </si>
  <si>
    <t>GENE</t>
  </si>
  <si>
    <t>4123</t>
  </si>
  <si>
    <t>4507</t>
  </si>
  <si>
    <t>BRAMMER, STEPHEN P.</t>
  </si>
  <si>
    <t>BRAMMER</t>
  </si>
  <si>
    <t>PAUL</t>
  </si>
  <si>
    <t>9994</t>
  </si>
  <si>
    <t>4505</t>
  </si>
  <si>
    <t xml:space="preserve">LANDSCAPE TECH, SR  </t>
  </si>
  <si>
    <t>06685</t>
  </si>
  <si>
    <t>G</t>
  </si>
  <si>
    <t>HAROIAN, J J.</t>
  </si>
  <si>
    <t>HAROIAN</t>
  </si>
  <si>
    <t xml:space="preserve">HG   </t>
  </si>
  <si>
    <t>9993</t>
  </si>
  <si>
    <t>4503</t>
  </si>
  <si>
    <t>FOSTER, DANIEL A.</t>
  </si>
  <si>
    <t>FOSTER</t>
  </si>
  <si>
    <t>ADAM ZEFAREU</t>
  </si>
  <si>
    <t>9991</t>
  </si>
  <si>
    <t xml:space="preserve">MAINT CRAFTSMAN     </t>
  </si>
  <si>
    <t>06634</t>
  </si>
  <si>
    <t>4500</t>
  </si>
  <si>
    <t xml:space="preserve">PAINTER             </t>
  </si>
  <si>
    <t>06556</t>
  </si>
  <si>
    <t>HARRYMAN, KAROL D.</t>
  </si>
  <si>
    <t>HARRYMAN</t>
  </si>
  <si>
    <t>KAROL</t>
  </si>
  <si>
    <t>4499</t>
  </si>
  <si>
    <t>GANNUSCIO, JOSEPH D.</t>
  </si>
  <si>
    <t>GANNUSCIO</t>
  </si>
  <si>
    <t>9912</t>
  </si>
  <si>
    <t>4345</t>
  </si>
  <si>
    <t>CAMPBELL, MICHAEL L.</t>
  </si>
  <si>
    <t>CAMPBELL</t>
  </si>
  <si>
    <t>4230</t>
  </si>
  <si>
    <t>LANDSCAPE SUPERINTEN</t>
  </si>
  <si>
    <t>06688</t>
  </si>
  <si>
    <t>LYONS, MARK S.</t>
  </si>
  <si>
    <t>LYONS</t>
  </si>
  <si>
    <t>STRONG</t>
  </si>
  <si>
    <t>4129</t>
  </si>
  <si>
    <t>SAATHOFF, DANIEL C.</t>
  </si>
  <si>
    <t>SAATHOFF</t>
  </si>
  <si>
    <t>CRAIG</t>
  </si>
  <si>
    <t>4128</t>
  </si>
  <si>
    <t>BAGLEY, MARK A.</t>
  </si>
  <si>
    <t>BAGLEY</t>
  </si>
  <si>
    <t>ALLEN</t>
  </si>
  <si>
    <t>9907</t>
  </si>
  <si>
    <t>4126</t>
  </si>
  <si>
    <t>FREY, CHRISTOPHER C.</t>
  </si>
  <si>
    <t>FREY</t>
  </si>
  <si>
    <t>CHRISTOPHER</t>
  </si>
  <si>
    <t>C</t>
  </si>
  <si>
    <t>4125</t>
  </si>
  <si>
    <t>SINCLAIR, BRIAN P.</t>
  </si>
  <si>
    <t>SINCLAIR</t>
  </si>
  <si>
    <t>4124</t>
  </si>
  <si>
    <t>JOHNSON, MATTHEW M.</t>
  </si>
  <si>
    <t>JOHNSON</t>
  </si>
  <si>
    <t>MATTHEW</t>
  </si>
  <si>
    <t>MELVIN</t>
  </si>
  <si>
    <t>4122</t>
  </si>
  <si>
    <t>TERMINI, DANIEL R.</t>
  </si>
  <si>
    <t>TERMINI</t>
  </si>
  <si>
    <t>9902</t>
  </si>
  <si>
    <t>ADAD</t>
  </si>
  <si>
    <t>5217</t>
  </si>
  <si>
    <t>SHIP &amp; REC MTRLS HAN</t>
  </si>
  <si>
    <t>01548</t>
  </si>
  <si>
    <t>WRIGHT, JOSHUA C.</t>
  </si>
  <si>
    <t>WRIGHT</t>
  </si>
  <si>
    <t xml:space="preserve">HF   </t>
  </si>
  <si>
    <t>5216</t>
  </si>
  <si>
    <t xml:space="preserve">ANTOCI, ZACHARY </t>
  </si>
  <si>
    <t>ANTOCI</t>
  </si>
  <si>
    <t>ZACHARY</t>
  </si>
  <si>
    <t>5213</t>
  </si>
  <si>
    <t>MILLER, KEVAN M.</t>
  </si>
  <si>
    <t>KEVAN</t>
  </si>
  <si>
    <t>5212</t>
  </si>
  <si>
    <t>CASH, GREGORY W.</t>
  </si>
  <si>
    <t>CASH</t>
  </si>
  <si>
    <t>GREGORY</t>
  </si>
  <si>
    <t>5211</t>
  </si>
  <si>
    <t>BRANHAM, CHANDRA N.</t>
  </si>
  <si>
    <t>BRANHAM</t>
  </si>
  <si>
    <t>CHANDRA</t>
  </si>
  <si>
    <t>5209</t>
  </si>
  <si>
    <t>POSTAL EQUIPMENT OPR</t>
  </si>
  <si>
    <t>01320</t>
  </si>
  <si>
    <t>COURTRIGHT, WILLIAM D.</t>
  </si>
  <si>
    <t>COURTRIGHT</t>
  </si>
  <si>
    <t>WILLIAM</t>
  </si>
  <si>
    <t>5207</t>
  </si>
  <si>
    <t>BARTA, KATHRYN R.</t>
  </si>
  <si>
    <t>BARTA</t>
  </si>
  <si>
    <t>KATHRYN</t>
  </si>
  <si>
    <t>ROSE</t>
  </si>
  <si>
    <t>5206</t>
  </si>
  <si>
    <t xml:space="preserve">ROOPER, CHARISE </t>
  </si>
  <si>
    <t>ROOPER</t>
  </si>
  <si>
    <t>CHARISE</t>
  </si>
  <si>
    <t>5205</t>
  </si>
  <si>
    <t>PENTLAND, DONNA F.</t>
  </si>
  <si>
    <t>PENTLAND</t>
  </si>
  <si>
    <t>DONNA</t>
  </si>
  <si>
    <t>FRANCISCA</t>
  </si>
  <si>
    <t>5203</t>
  </si>
  <si>
    <t>CUDE, CHRISTOPHER C.</t>
  </si>
  <si>
    <t>CUDE</t>
  </si>
  <si>
    <t>5201</t>
  </si>
  <si>
    <t>03178</t>
  </si>
  <si>
    <t>HOWARD, BRYAN A.</t>
  </si>
  <si>
    <t>HOWARD</t>
  </si>
  <si>
    <t>BRYAN</t>
  </si>
  <si>
    <t>5132</t>
  </si>
  <si>
    <t xml:space="preserve">POSTAL CLERK, LEAD  </t>
  </si>
  <si>
    <t>01156</t>
  </si>
  <si>
    <t>SMITH, SHERRIE L.</t>
  </si>
  <si>
    <t>SMITH</t>
  </si>
  <si>
    <t>SHERRIE</t>
  </si>
  <si>
    <t>5214</t>
  </si>
  <si>
    <t>9990</t>
  </si>
  <si>
    <t>9909</t>
  </si>
  <si>
    <t>5219</t>
  </si>
  <si>
    <t xml:space="preserve">POSTAL SERVICES CRD </t>
  </si>
  <si>
    <t>01154</t>
  </si>
  <si>
    <t>HAMPTON, PERRY B.</t>
  </si>
  <si>
    <t>HAMPTON</t>
  </si>
  <si>
    <t>PERRY</t>
  </si>
  <si>
    <t>5218</t>
  </si>
  <si>
    <t>BOSTAPH, CHARLES G.</t>
  </si>
  <si>
    <t>BOSTAPH</t>
  </si>
  <si>
    <t>CHARLES</t>
  </si>
  <si>
    <t>GEORGE</t>
  </si>
  <si>
    <t>9500</t>
  </si>
  <si>
    <t>27</t>
  </si>
  <si>
    <t>1019</t>
  </si>
  <si>
    <t xml:space="preserve">TRAINING SPEC       </t>
  </si>
  <si>
    <t>05122</t>
  </si>
  <si>
    <t>BENEDICT  II, FORREST T.</t>
  </si>
  <si>
    <t>BENEDICT  II</t>
  </si>
  <si>
    <t>FORREST</t>
  </si>
  <si>
    <t>THAD</t>
  </si>
  <si>
    <t>0074</t>
  </si>
  <si>
    <t xml:space="preserve">PROGRAM SUPERVISOR  </t>
  </si>
  <si>
    <t>08990</t>
  </si>
  <si>
    <t>GROSS, JUSTIN D.</t>
  </si>
  <si>
    <t>GROSS</t>
  </si>
  <si>
    <t>0072</t>
  </si>
  <si>
    <t>PURCHASING OFCR,DIV/</t>
  </si>
  <si>
    <t>04853</t>
  </si>
  <si>
    <t xml:space="preserve">NELSON, JOSEPH </t>
  </si>
  <si>
    <t>NELSON</t>
  </si>
  <si>
    <t>0071</t>
  </si>
  <si>
    <t>SHEA, QUINN B.</t>
  </si>
  <si>
    <t>SHEA</t>
  </si>
  <si>
    <t>QUINN</t>
  </si>
  <si>
    <t>BOWMAN</t>
  </si>
  <si>
    <t>04859</t>
  </si>
  <si>
    <t>0069</t>
  </si>
  <si>
    <t>QUIGNON, ARIANNE K.</t>
  </si>
  <si>
    <t>QUIGNON</t>
  </si>
  <si>
    <t>ARIANNE</t>
  </si>
  <si>
    <t>KAYLEA</t>
  </si>
  <si>
    <t>0067</t>
  </si>
  <si>
    <t>GWINN, MICHAEL D.</t>
  </si>
  <si>
    <t>GWINN</t>
  </si>
  <si>
    <t>DOUGLAS</t>
  </si>
  <si>
    <t>0062</t>
  </si>
  <si>
    <t xml:space="preserve">OFFICE SPECIALIST 2 </t>
  </si>
  <si>
    <t>01239</t>
  </si>
  <si>
    <t>EDKINS, LINDA D.</t>
  </si>
  <si>
    <t>EDKINS</t>
  </si>
  <si>
    <t>LINDA</t>
  </si>
  <si>
    <t>DARLENE</t>
  </si>
  <si>
    <t>0019</t>
  </si>
  <si>
    <t>DATA COORDINATOR SEN</t>
  </si>
  <si>
    <t>00801</t>
  </si>
  <si>
    <t>BUTLER, KAREN E.</t>
  </si>
  <si>
    <t>BUTLER</t>
  </si>
  <si>
    <t>0018</t>
  </si>
  <si>
    <t xml:space="preserve">PURCHASING MANAGER, </t>
  </si>
  <si>
    <t>01530</t>
  </si>
  <si>
    <t>ROBILLARD, CHELSEA K.</t>
  </si>
  <si>
    <t>ROBILLARD</t>
  </si>
  <si>
    <t>CHELSEA</t>
  </si>
  <si>
    <t>0016</t>
  </si>
  <si>
    <t>URQUHART, JASON R.</t>
  </si>
  <si>
    <t>URQUHART</t>
  </si>
  <si>
    <t>JASON</t>
  </si>
  <si>
    <t>0004</t>
  </si>
  <si>
    <t>GALLIVAN, LAURA E.</t>
  </si>
  <si>
    <t>GALLIVAN</t>
  </si>
  <si>
    <t>LAURA</t>
  </si>
  <si>
    <t>0073</t>
  </si>
  <si>
    <t xml:space="preserve">GRANTS/CNTRCTS OFCR </t>
  </si>
  <si>
    <t>05310</t>
  </si>
  <si>
    <t>0063</t>
  </si>
  <si>
    <t>0002</t>
  </si>
  <si>
    <t>STARMAN, KAYLEE M.</t>
  </si>
  <si>
    <t>STARMAN</t>
  </si>
  <si>
    <t>KAYLEE</t>
  </si>
  <si>
    <t>0011</t>
  </si>
  <si>
    <t xml:space="preserve">ADMIN PURCHASING    </t>
  </si>
  <si>
    <t>20302</t>
  </si>
  <si>
    <t xml:space="preserve">BOLLINGER, VALERIE </t>
  </si>
  <si>
    <t>BOLLINGER</t>
  </si>
  <si>
    <t>VALERIE</t>
  </si>
  <si>
    <t>9901</t>
  </si>
  <si>
    <t>51</t>
  </si>
  <si>
    <t>3269</t>
  </si>
  <si>
    <t xml:space="preserve">STOREKEEPER         </t>
  </si>
  <si>
    <t>01546</t>
  </si>
  <si>
    <t>ELLIOTT, JOHN C.</t>
  </si>
  <si>
    <t>ELLIOTT</t>
  </si>
  <si>
    <t>3264</t>
  </si>
  <si>
    <t>PRINTING COPY CNTR T</t>
  </si>
  <si>
    <t>01413</t>
  </si>
  <si>
    <t>HOLMAN, DAVID M.</t>
  </si>
  <si>
    <t>HOLMAN</t>
  </si>
  <si>
    <t>9911</t>
  </si>
  <si>
    <t>0048</t>
  </si>
  <si>
    <t>0456</t>
  </si>
  <si>
    <t>KING, HATTIE A.</t>
  </si>
  <si>
    <t>KING</t>
  </si>
  <si>
    <t>HATTIE</t>
  </si>
  <si>
    <t>ANNE</t>
  </si>
  <si>
    <t>5130</t>
  </si>
  <si>
    <t>9908</t>
  </si>
  <si>
    <t>0066</t>
  </si>
  <si>
    <t>SURPLUS PROP BUS MGR</t>
  </si>
  <si>
    <t>01522</t>
  </si>
  <si>
    <t>SIBERT, SAMUEL W.</t>
  </si>
  <si>
    <t>SIBERT</t>
  </si>
  <si>
    <t>SAMUEL</t>
  </si>
  <si>
    <t>WYATT</t>
  </si>
  <si>
    <t>0461</t>
  </si>
  <si>
    <t>52</t>
  </si>
  <si>
    <t>ADAK</t>
  </si>
  <si>
    <t>1038</t>
  </si>
  <si>
    <t>EMPLOYEE BENEFITS SP</t>
  </si>
  <si>
    <t>05146</t>
  </si>
  <si>
    <t>JAMIESON ANGHEL, SHERRY L.</t>
  </si>
  <si>
    <t>JAMIESON ANGHEL</t>
  </si>
  <si>
    <t>SHERRY</t>
  </si>
  <si>
    <t>1020</t>
  </si>
  <si>
    <t xml:space="preserve">PERSONNEL TECH      </t>
  </si>
  <si>
    <t>05159</t>
  </si>
  <si>
    <t>TANNER, MARY K.</t>
  </si>
  <si>
    <t>TANNER</t>
  </si>
  <si>
    <t>MARY</t>
  </si>
  <si>
    <t>KRISTIN</t>
  </si>
  <si>
    <t>1008</t>
  </si>
  <si>
    <t>GROUP INS BENEFIT AN</t>
  </si>
  <si>
    <t>08938</t>
  </si>
  <si>
    <t>SEAMAN, JUSTIN S.</t>
  </si>
  <si>
    <t>SEAMAN</t>
  </si>
  <si>
    <t>0235</t>
  </si>
  <si>
    <t>CHHABRA, DANIELL R.</t>
  </si>
  <si>
    <t>CHHABRA</t>
  </si>
  <si>
    <t>DANIELL</t>
  </si>
  <si>
    <t>0020</t>
  </si>
  <si>
    <t xml:space="preserve">STATEWIDE GROUP INS </t>
  </si>
  <si>
    <t>08955</t>
  </si>
  <si>
    <t>PIKE, JENNIFER L.</t>
  </si>
  <si>
    <t>PIKE</t>
  </si>
  <si>
    <t>JENNIFER</t>
  </si>
  <si>
    <t>LOUISE</t>
  </si>
  <si>
    <t>9903</t>
  </si>
  <si>
    <t>0462</t>
  </si>
  <si>
    <t>99</t>
  </si>
  <si>
    <t>1026</t>
  </si>
  <si>
    <t>RISK MGMT CLAIMS ADJ</t>
  </si>
  <si>
    <t>08953</t>
  </si>
  <si>
    <t>VILLWOCK, WILLIAM F.</t>
  </si>
  <si>
    <t>VILLWOCK</t>
  </si>
  <si>
    <t>9999</t>
  </si>
  <si>
    <t>1024</t>
  </si>
  <si>
    <t xml:space="preserve">PROGRAM MANAGER     </t>
  </si>
  <si>
    <t>09047</t>
  </si>
  <si>
    <t>WHIGAM, MARTIN T.</t>
  </si>
  <si>
    <t>WHIGAM</t>
  </si>
  <si>
    <t>TRACY</t>
  </si>
  <si>
    <t>9996</t>
  </si>
  <si>
    <t>1023</t>
  </si>
  <si>
    <t>COFFMAN, KRISTINE L.</t>
  </si>
  <si>
    <t>COFFMAN</t>
  </si>
  <si>
    <t>9995</t>
  </si>
  <si>
    <t>1021</t>
  </si>
  <si>
    <t>RISK MGMT CLAIMS TEC</t>
  </si>
  <si>
    <t>08940</t>
  </si>
  <si>
    <t>HAMMONS, SANDRA C.</t>
  </si>
  <si>
    <t>HAMMONS</t>
  </si>
  <si>
    <t>1018</t>
  </si>
  <si>
    <t xml:space="preserve">RISK MGMT ANALYST   </t>
  </si>
  <si>
    <t>08957</t>
  </si>
  <si>
    <t>GEORGE, MAX L.</t>
  </si>
  <si>
    <t>MAX</t>
  </si>
  <si>
    <t>LLOYD</t>
  </si>
  <si>
    <t>1022</t>
  </si>
  <si>
    <t>1017</t>
  </si>
  <si>
    <t xml:space="preserve">ADMIN-INSURANCE     </t>
  </si>
  <si>
    <t>20325</t>
  </si>
  <si>
    <t>COX, FAITH A.</t>
  </si>
  <si>
    <t>COX</t>
  </si>
  <si>
    <t>FAITH</t>
  </si>
  <si>
    <t>0012</t>
  </si>
  <si>
    <t>FIELDS, KRISTINE K.</t>
  </si>
  <si>
    <t>FIELDS</t>
  </si>
  <si>
    <t>1025</t>
  </si>
  <si>
    <t xml:space="preserve">ISIF MGR            </t>
  </si>
  <si>
    <t>20306</t>
  </si>
  <si>
    <t>MURPHY, KIMBERLY A.</t>
  </si>
  <si>
    <t>1027</t>
  </si>
  <si>
    <t>INDUSTRL INDEMNITY C</t>
  </si>
  <si>
    <t>08946</t>
  </si>
  <si>
    <t>ADAN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</si>
  <si>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</si>
  <si>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</si>
  <si>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</si>
  <si>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</si>
  <si>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</si>
  <si>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</si>
  <si>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</si>
  <si>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</si>
  <si>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</si>
  <si>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</si>
  <si>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</si>
  <si>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</si>
  <si>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</si>
  <si>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</si>
  <si>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</si>
  <si>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</si>
  <si>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</si>
  <si>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</si>
  <si>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</si>
  <si>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</si>
  <si>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</si>
  <si>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</si>
  <si>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</si>
  <si>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</si>
  <si>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</si>
  <si>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</si>
  <si>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</si>
  <si>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</si>
  <si>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</si>
  <si>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</si>
  <si>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</si>
  <si>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</si>
  <si>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</si>
  <si>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</si>
  <si>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</si>
  <si>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</si>
  <si>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</si>
  <si>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</si>
  <si>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</si>
  <si>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</si>
  <si>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</si>
  <si>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</si>
  <si>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</si>
  <si>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</si>
  <si>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</si>
  <si>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</si>
  <si>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</si>
  <si>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</si>
  <si>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ADAA 0001-00</t>
  </si>
  <si>
    <t>ADAA 0001</t>
  </si>
  <si>
    <t>Department of Administration</t>
  </si>
  <si>
    <t>Management Services</t>
  </si>
  <si>
    <t>General</t>
  </si>
  <si>
    <t>0001-00</t>
  </si>
  <si>
    <t>10000</t>
  </si>
  <si>
    <t>Management Services, General   ADAA-0001-00</t>
  </si>
  <si>
    <t>ADAA 0365-00</t>
  </si>
  <si>
    <t>ADAA 0365</t>
  </si>
  <si>
    <t>Permanent Building</t>
  </si>
  <si>
    <t>0365-00</t>
  </si>
  <si>
    <t>36500</t>
  </si>
  <si>
    <t>Management Services, Permanent Building   ADAA-0365-00</t>
  </si>
  <si>
    <t>ADAA 0450-00</t>
  </si>
  <si>
    <t>ADAA 0450-14</t>
  </si>
  <si>
    <t>ADAA 0450</t>
  </si>
  <si>
    <t>Administration and Accounting Services</t>
  </si>
  <si>
    <t>0450-00</t>
  </si>
  <si>
    <t>45000</t>
  </si>
  <si>
    <t>Management Services, Administration and Accounting Services   ADAA-0450-00</t>
  </si>
  <si>
    <t>ADAA 0519-00</t>
  </si>
  <si>
    <t>ADAA 0519</t>
  </si>
  <si>
    <t>Industrial Special Indemnity</t>
  </si>
  <si>
    <t>0519-00</t>
  </si>
  <si>
    <t>51900</t>
  </si>
  <si>
    <t>Management Services, Industrial Special Indemnity   ADAA-0519-00</t>
  </si>
  <si>
    <t>ADAC 0365-00</t>
  </si>
  <si>
    <t>ADAC 0365</t>
  </si>
  <si>
    <t>Public Works</t>
  </si>
  <si>
    <t>Public Works, Permanent Building   ADAC-0365-00</t>
  </si>
  <si>
    <t>ADAC 0450-00</t>
  </si>
  <si>
    <t>ADAC 0450-26</t>
  </si>
  <si>
    <t>ADAC 0450</t>
  </si>
  <si>
    <t>Public Works, Administration and Accounting Services   ADAC-0450-00</t>
  </si>
  <si>
    <t>ADAD 0001-00</t>
  </si>
  <si>
    <t>ADAD 0001</t>
  </si>
  <si>
    <t>ADAD 0450-00</t>
  </si>
  <si>
    <t>ADAD 0450-27</t>
  </si>
  <si>
    <t>ADAD 0450-51</t>
  </si>
  <si>
    <t>ADAD 0450</t>
  </si>
  <si>
    <t>Purchasing</t>
  </si>
  <si>
    <t>Purchasing, Administration and Accounting Services   ADAD-0450-00</t>
  </si>
  <si>
    <t>ADAD 0456-00</t>
  </si>
  <si>
    <t>ADAD 0456</t>
  </si>
  <si>
    <t>Federal Surplus Property Revolving</t>
  </si>
  <si>
    <t>0456-00</t>
  </si>
  <si>
    <t>45600</t>
  </si>
  <si>
    <t>Purchasing, Federal Surplus Property Revolving   ADAD-0456-00</t>
  </si>
  <si>
    <t>ADAF 0519-00</t>
  </si>
  <si>
    <t>ADAF 0519</t>
  </si>
  <si>
    <t>ADAH 0450-00</t>
  </si>
  <si>
    <t>ADAH 0450</t>
  </si>
  <si>
    <t>ADAI 0461-00</t>
  </si>
  <si>
    <t>ADAI 0461</t>
  </si>
  <si>
    <t>Insurance Management</t>
  </si>
  <si>
    <t>Employee Group Insurance</t>
  </si>
  <si>
    <t>0461-00</t>
  </si>
  <si>
    <t>46100</t>
  </si>
  <si>
    <t>ADAI 0462-00</t>
  </si>
  <si>
    <t>ADAI 0462</t>
  </si>
  <si>
    <t>Retained Risk</t>
  </si>
  <si>
    <t>0462-00</t>
  </si>
  <si>
    <t>46200</t>
  </si>
  <si>
    <t>ADAI 0519-00</t>
  </si>
  <si>
    <t>ADAI 0519</t>
  </si>
  <si>
    <t>ADAK 0461-00</t>
  </si>
  <si>
    <t>ADAK 0461-52</t>
  </si>
  <si>
    <t>ADAK 0461</t>
  </si>
  <si>
    <t>Insurance Management, Employee Group Insurance   ADAK-0461-00</t>
  </si>
  <si>
    <t>ADAK 0462-00</t>
  </si>
  <si>
    <t>ADAK 0462-99</t>
  </si>
  <si>
    <t>ADAK 0462</t>
  </si>
  <si>
    <t>Insurance Management, Retained Risk   ADAK-0462-00</t>
  </si>
  <si>
    <t>ADAK 0519-00</t>
  </si>
  <si>
    <t>ADAK 0519</t>
  </si>
  <si>
    <t>Insurance Management, Industrial Special Indemnity   ADAK-0519-00</t>
  </si>
  <si>
    <t>ADAM 0001-00</t>
  </si>
  <si>
    <t>ADAM 0001</t>
  </si>
  <si>
    <t>Document Services</t>
  </si>
  <si>
    <t>ADAM</t>
  </si>
  <si>
    <t>Document Services, General   ADAM-0001-00</t>
  </si>
  <si>
    <t>ADAM 0450-00</t>
  </si>
  <si>
    <t>ADAM 0450</t>
  </si>
  <si>
    <t>Document Services, Administration and Accounting Services   ADAM-0450-00</t>
  </si>
  <si>
    <t>ADAN 0456-00</t>
  </si>
  <si>
    <t>ADAN 0456</t>
  </si>
  <si>
    <t>Management Services, Federal Surplus Property Revolving   ADAN-0456-00</t>
  </si>
  <si>
    <t>ADAN 0461-00</t>
  </si>
  <si>
    <t>ADAN 0461</t>
  </si>
  <si>
    <t>Management Services, Employee Group Insurance   ADAN-0461-00</t>
  </si>
  <si>
    <t>ADAN 0462-00</t>
  </si>
  <si>
    <t>ADAN 0462</t>
  </si>
  <si>
    <t>Management Services, Retained Risk   ADAN-0462-00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</si>
  <si>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</si>
  <si>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</si>
  <si>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</si>
  <si>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</si>
  <si>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</si>
  <si>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</si>
  <si>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</si>
  <si>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</si>
  <si>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Fund-0365</t>
  </si>
  <si>
    <t>0450-14</t>
  </si>
  <si>
    <t>0450-26</t>
  </si>
  <si>
    <t>0450-27</t>
  </si>
  <si>
    <t>0450-51</t>
  </si>
  <si>
    <t>Fund-0450</t>
  </si>
  <si>
    <t>Fund-0456</t>
  </si>
  <si>
    <t>0461-52</t>
  </si>
  <si>
    <t>Fund-0461</t>
  </si>
  <si>
    <t>0462-99</t>
  </si>
  <si>
    <t>Fund-0462</t>
  </si>
  <si>
    <t>Fund-0519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</si>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</sst>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0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02"/>
      <tableStyleElement type="headerRow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FDFA-F79D-4389-AC41-56142A40964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890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888</v>
      </c>
      <c r="J5" s="411"/>
      <c r="K5" s="411"/>
      <c r="L5" s="410"/>
      <c r="M5" s="352" t="s">
        <v>115</v>
      </c>
      <c r="N5" s="32" t="s">
        <v>889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"&amp;'ADAA|0001-00'!FiscalYear-1&amp;" SALARY"</f>
        <v>FY 2022 SALARY</v>
      </c>
      <c r="H8" s="50" t="str">
        <f>"FY "&amp;'ADAA|0001-00'!FiscalYear-1&amp;" HEALTH BENEFITS"</f>
        <v>FY 2022 HEALTH BENEFITS</v>
      </c>
      <c r="I8" s="50" t="str">
        <f>"FY "&amp;'ADAA|0001-00'!FiscalYear-1&amp;" VAR BENEFITS"</f>
        <v>FY 2022 VAR BENEFITS</v>
      </c>
      <c r="J8" s="50" t="str">
        <f>"FY "&amp;'ADAA|0001-00'!FiscalYear-1&amp;" TOTAL"</f>
        <v>FY 2022 TOTAL</v>
      </c>
      <c r="K8" s="50" t="str">
        <f>"FY "&amp;'ADAA|0001-00'!FiscalYear&amp;" SALARY CHANGE"</f>
        <v>FY 2023 SALARY CHANGE</v>
      </c>
      <c r="L8" s="50" t="str">
        <f>"FY "&amp;'ADAA|0001-00'!FiscalYear&amp;" CHG HEALTH BENEFITS"</f>
        <v>FY 2023 CHG HEALTH BENEFITS</v>
      </c>
      <c r="M8" s="50" t="str">
        <f>"FY "&amp;'ADAA|0001-00'!FiscalYear&amp;"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[0]!ADAA000100col_INC_FTI</f>
        <v>1.5</v>
      </c>
      <c r="G10" s="218">
        <f>[0]!ADAA000100col_FTI_SALARY_PERM</f>
        <v>121533.36</v>
      </c>
      <c r="H10" s="218">
        <f>[0]!ADAA000100col_HEALTH_PERM</f>
        <v>17475</v>
      </c>
      <c r="I10" s="218">
        <f>[0]!ADAA000100col_TOT_VB_PERM</f>
        <v>27008.313685600002</v>
      </c>
      <c r="J10" s="219">
        <f>SUM(G10:I10)</f>
        <v>166016.67368559999</v>
      </c>
      <c r="K10" s="219">
        <f>[0]!ADAA000100col_1_27TH_PP</f>
        <v>0</v>
      </c>
      <c r="L10" s="218">
        <f>[0]!ADAA000100col_HEALTH_PERM_CHG</f>
        <v>0</v>
      </c>
      <c r="M10" s="218">
        <f>[0]!ADAA000100col_TOT_VB_PERM_CHG</f>
        <v>-433.48614399999997</v>
      </c>
      <c r="N10" s="218">
        <f>SUM(L10:M10)</f>
        <v>-433.48614399999997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[0]!ADAA000100col_Group_Salary</f>
        <v>0</v>
      </c>
      <c r="H11" s="218">
        <v>0</v>
      </c>
      <c r="I11" s="218">
        <f>[0]!ADAA000100col_Group_Ben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[0]!ADAA000100col_TOTAL_ELECT_PCN_FTI</f>
        <v>0</v>
      </c>
      <c r="G12" s="218">
        <f>[0]!ADAA000100col_FTI_SALARY_ELECT</f>
        <v>0</v>
      </c>
      <c r="H12" s="218">
        <f>[0]!ADAA000100col_HEALTH_ELECT</f>
        <v>0</v>
      </c>
      <c r="I12" s="218">
        <f>[0]!ADAA000100col_TOT_VB_ELECT</f>
        <v>0</v>
      </c>
      <c r="J12" s="219">
        <f>SUM(G12:I12)</f>
        <v>0</v>
      </c>
      <c r="K12" s="268"/>
      <c r="L12" s="218">
        <f>[0]!ADAA000100col_HEALTH_ELECT_CHG</f>
        <v>0</v>
      </c>
      <c r="M12" s="218">
        <f>[0]!ADAA000100col_TOT_VB_ELECT_CHG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1.5</v>
      </c>
      <c r="G13" s="221">
        <f>SUM(G10:G12)</f>
        <v>121533.36</v>
      </c>
      <c r="H13" s="221">
        <f>SUM(H10:H12)</f>
        <v>17475</v>
      </c>
      <c r="I13" s="221">
        <f>SUM(I10:I12)</f>
        <v>27008.313685600002</v>
      </c>
      <c r="J13" s="219">
        <f>SUM(G13:I13)</f>
        <v>166016.67368559999</v>
      </c>
      <c r="K13" s="268"/>
      <c r="L13" s="219">
        <f>SUM(L10:L12)</f>
        <v>0</v>
      </c>
      <c r="M13" s="219">
        <f>SUM(M10:M12)</f>
        <v>-433.48614399999997</v>
      </c>
      <c r="N13" s="219">
        <f>SUM(N10:N12)</f>
        <v>-433.48614399999997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"&amp;'ADAA|0001-00'!FiscalYear-1</f>
        <v>FY 2022</v>
      </c>
      <c r="D15" s="158" t="s">
        <v>31</v>
      </c>
      <c r="E15" s="355">
        <v>181000</v>
      </c>
      <c r="F15" s="55">
        <v>1.58</v>
      </c>
      <c r="G15" s="223">
        <f>IF(OrigApprop=0,0,(G13/$J$13)*OrigApprop)</f>
        <v>132501.98110617866</v>
      </c>
      <c r="H15" s="223">
        <f>IF(OrigApprop=0,0,(H13/$J$13)*OrigApprop)</f>
        <v>19052.152592757018</v>
      </c>
      <c r="I15" s="223">
        <f>IF(G15=0,0,(I13/$J$13)*OrigApprop)</f>
        <v>29445.866301064318</v>
      </c>
      <c r="J15" s="223">
        <f>SUM(G15:I15)</f>
        <v>181000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8.0000000000000071E-2</v>
      </c>
      <c r="G16" s="162">
        <f>G15-G13</f>
        <v>10968.62110617866</v>
      </c>
      <c r="H16" s="162">
        <f>H15-H13</f>
        <v>1577.1525927570183</v>
      </c>
      <c r="I16" s="162">
        <f>I15-I13</f>
        <v>2437.5526154643157</v>
      </c>
      <c r="J16" s="162">
        <f>J15-J13</f>
        <v>14983.326314400008</v>
      </c>
      <c r="K16" s="269"/>
      <c r="L16" s="56" t="str">
        <f>IF('ADAA|0001-00'!OrigApprop=0,"ERROR! Enter Original Appropriation amount in DU 3.00!","Calculated "&amp;IF('ADAA|0001-00'!AdjustedTotal&gt;0,"overfunding ","underfunding ")&amp;"is "&amp;TEXT('ADAA|0001-00'!AdjustedTotal/'ADAA|0001-00'!AppropTotal,"#.0%;(#.0% );0% ;")&amp;" of Original Appropriation")</f>
        <v>Calculated overfunding is 8.3%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1.5</v>
      </c>
      <c r="G38" s="191">
        <f>SUMIF($E10:$E35,$E38,$G10:$G35)</f>
        <v>121533.36</v>
      </c>
      <c r="H38" s="192">
        <f>SUMIF($E10:$E35,$E38,$H10:$H35)</f>
        <v>17475</v>
      </c>
      <c r="I38" s="192">
        <f>SUMIF($E10:$E35,$E38,$I10:$I35)</f>
        <v>27008.313685600002</v>
      </c>
      <c r="J38" s="192">
        <f>SUM(G38:I38)</f>
        <v>166016.67368559999</v>
      </c>
      <c r="K38" s="166"/>
      <c r="L38" s="191">
        <f>SUMIF($E10:$E35,$E38,$L10:$L35)</f>
        <v>0</v>
      </c>
      <c r="M38" s="192">
        <f>SUMIF($E10:$E35,$E38,$M10:$M35)</f>
        <v>-433.48614399999997</v>
      </c>
      <c r="N38" s="192">
        <f>SUM(L38:M38)</f>
        <v>-433.48614399999997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1.5</v>
      </c>
      <c r="G41" s="195">
        <f>SUM($G$38:$G$40)</f>
        <v>121533.36</v>
      </c>
      <c r="H41" s="162">
        <f>SUM($H$38:$H$40)</f>
        <v>17475</v>
      </c>
      <c r="I41" s="162">
        <f>SUM($I$38:$I$40)</f>
        <v>27008.313685600002</v>
      </c>
      <c r="J41" s="162">
        <f>SUM($J$38:$J$40)</f>
        <v>166016.67368559999</v>
      </c>
      <c r="K41" s="259"/>
      <c r="L41" s="195">
        <f>SUM($L$38:$L$40)</f>
        <v>0</v>
      </c>
      <c r="M41" s="162">
        <f>SUM($M$38:$M$40)</f>
        <v>-433.48614399999997</v>
      </c>
      <c r="N41" s="162">
        <f>SUM(L41:M41)</f>
        <v>-433.48614399999997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0.08</v>
      </c>
      <c r="G43" s="206">
        <f>ROUND(G51-G41,-2)</f>
        <v>11000</v>
      </c>
      <c r="H43" s="159">
        <f>ROUND(H51-H41,-2)</f>
        <v>1600</v>
      </c>
      <c r="I43" s="159">
        <f>ROUND(I51-I41,-2)</f>
        <v>2400</v>
      </c>
      <c r="J43" s="159">
        <f>SUM(G43:I43)</f>
        <v>15000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8.3%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0.08</v>
      </c>
      <c r="G44" s="206">
        <f>ROUND(G60-G41,-2)</f>
        <v>11000</v>
      </c>
      <c r="H44" s="159">
        <f>ROUND(H60-H41,-2)</f>
        <v>1600</v>
      </c>
      <c r="I44" s="159">
        <f>ROUND(I60-I41,-2)</f>
        <v>2400</v>
      </c>
      <c r="J44" s="159">
        <f>SUM(G44:I44)</f>
        <v>15000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8.3%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0.08</v>
      </c>
      <c r="G45" s="206">
        <f>ROUND(G67-G41-G63,-2)</f>
        <v>11000</v>
      </c>
      <c r="H45" s="206">
        <f>ROUND(H67-H41-H63,-2)</f>
        <v>1600</v>
      </c>
      <c r="I45" s="206">
        <f>ROUND(I67-I41-I63,-2)</f>
        <v>2400</v>
      </c>
      <c r="J45" s="159">
        <f>SUM(G45:I45)</f>
        <v>15000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181000</v>
      </c>
      <c r="F51" s="272">
        <f>AppropFTP</f>
        <v>1.58</v>
      </c>
      <c r="G51" s="274">
        <f>IF(E51=0,0,(G41/$J$41)*$E$51)</f>
        <v>132501.98110617866</v>
      </c>
      <c r="H51" s="274">
        <f>IF(E51=0,0,(H41/$J$41)*$E$51)</f>
        <v>19052.152592757018</v>
      </c>
      <c r="I51" s="275">
        <f>IF(E51=0,0,(I41/$J$41)*$E$51)</f>
        <v>29445.866301064318</v>
      </c>
      <c r="J51" s="90">
        <f>SUM(G51:I51)</f>
        <v>181000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1.58</v>
      </c>
      <c r="G52" s="79">
        <f>ROUND(G51,-2)</f>
        <v>132500</v>
      </c>
      <c r="H52" s="79">
        <f>ROUND(H51,-2)</f>
        <v>19100</v>
      </c>
      <c r="I52" s="266">
        <f>ROUND(I51,-2)</f>
        <v>29400</v>
      </c>
      <c r="J52" s="80">
        <f>ROUND(J51,-2)</f>
        <v>181000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1.58</v>
      </c>
      <c r="G56" s="80">
        <f>SUM(G52:G55)</f>
        <v>132500</v>
      </c>
      <c r="H56" s="80">
        <f>SUM(H52:H55)</f>
        <v>19100</v>
      </c>
      <c r="I56" s="260">
        <f>SUM(I52:I55)</f>
        <v>29400</v>
      </c>
      <c r="J56" s="80">
        <f>SUM(J52:J55)</f>
        <v>181000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1.58</v>
      </c>
      <c r="G60" s="80">
        <f>SUM(G56:G59)</f>
        <v>132500</v>
      </c>
      <c r="H60" s="80">
        <f>SUM(H56:H59)</f>
        <v>19100</v>
      </c>
      <c r="I60" s="260">
        <f>SUM(I56:I59)</f>
        <v>29400</v>
      </c>
      <c r="J60" s="80">
        <f>SUM(J56:J59)</f>
        <v>181000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1.58</v>
      </c>
      <c r="G67" s="80">
        <f>SUM(G60:G64)</f>
        <v>132500</v>
      </c>
      <c r="H67" s="80">
        <f>SUM(H60:H64)</f>
        <v>19100</v>
      </c>
      <c r="I67" s="80">
        <f>SUM(I60:I64)</f>
        <v>29400</v>
      </c>
      <c r="J67" s="80">
        <f>SUM(J60:J64)</f>
        <v>181000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1.58</v>
      </c>
      <c r="G75" s="80">
        <f>SUM(G67:G74)</f>
        <v>133700</v>
      </c>
      <c r="H75" s="80">
        <f>SUM(H67:H74)</f>
        <v>19100</v>
      </c>
      <c r="I75" s="80">
        <f>SUM(I67:I74)</f>
        <v>29300</v>
      </c>
      <c r="J75" s="80">
        <f>SUM(J67:K74)</f>
        <v>182100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1.58</v>
      </c>
      <c r="G80" s="80">
        <f>SUM(G75:G79)</f>
        <v>133700</v>
      </c>
      <c r="H80" s="80">
        <f>SUM(H75:H79)</f>
        <v>19100</v>
      </c>
      <c r="I80" s="80">
        <f>SUM(I75:I79)</f>
        <v>29300</v>
      </c>
      <c r="J80" s="80">
        <f>SUM(J75:J79)</f>
        <v>182100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00" priority="5">
      <formula>$J$44&lt;0</formula>
    </cfRule>
  </conditionalFormatting>
  <conditionalFormatting sqref="K43">
    <cfRule type="expression" dxfId="99" priority="4">
      <formula>$J$43&lt;0</formula>
    </cfRule>
  </conditionalFormatting>
  <conditionalFormatting sqref="L16">
    <cfRule type="expression" dxfId="98" priority="3">
      <formula>$J$16&lt;0</formula>
    </cfRule>
  </conditionalFormatting>
  <conditionalFormatting sqref="K45">
    <cfRule type="expression" dxfId="97" priority="2">
      <formula>$J$44&lt;0</formula>
    </cfRule>
  </conditionalFormatting>
  <conditionalFormatting sqref="K43:N45">
    <cfRule type="containsText" dxfId="9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D315C0-94E7-4701-A019-C97EE7C89AA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4150-D2F6-418D-B74B-5263FFAB5DC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947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757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945</v>
      </c>
      <c r="J5" s="411"/>
      <c r="K5" s="411"/>
      <c r="L5" s="410"/>
      <c r="M5" s="352" t="s">
        <v>115</v>
      </c>
      <c r="N5" s="32" t="s">
        <v>946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"&amp;'ADAK|0462-00'!FiscalYear-1&amp;" SALARY"</f>
        <v>FY 2022 SALARY</v>
      </c>
      <c r="H8" s="50" t="str">
        <f>"FY "&amp;'ADAK|0462-00'!FiscalYear-1&amp;" HEALTH BENEFITS"</f>
        <v>FY 2022 HEALTH BENEFITS</v>
      </c>
      <c r="I8" s="50" t="str">
        <f>"FY "&amp;'ADAK|0462-00'!FiscalYear-1&amp;" VAR BENEFITS"</f>
        <v>FY 2022 VAR BENEFITS</v>
      </c>
      <c r="J8" s="50" t="str">
        <f>"FY "&amp;'ADAK|0462-00'!FiscalYear-1&amp;" TOTAL"</f>
        <v>FY 2022 TOTAL</v>
      </c>
      <c r="K8" s="50" t="str">
        <f>"FY "&amp;'ADAK|0462-00'!FiscalYear&amp;" SALARY CHANGE"</f>
        <v>FY 2023 SALARY CHANGE</v>
      </c>
      <c r="L8" s="50" t="str">
        <f>"FY "&amp;'ADAK|0462-00'!FiscalYear&amp;" CHG HEALTH BENEFITS"</f>
        <v>FY 2023 CHG HEALTH BENEFITS</v>
      </c>
      <c r="M8" s="50" t="str">
        <f>"FY "&amp;'ADAK|0462-00'!FiscalYear&amp;"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[0]!ADAK046200col_INC_FTI</f>
        <v>7.1</v>
      </c>
      <c r="G10" s="218">
        <f>[0]!ADAK046200col_FTI_SALARY_PERM</f>
        <v>454477.92</v>
      </c>
      <c r="H10" s="218">
        <f>[0]!ADAK046200col_HEALTH_PERM</f>
        <v>82715</v>
      </c>
      <c r="I10" s="218">
        <f>[0]!ADAK046200col_TOT_VB_PERM</f>
        <v>101807.64337119999</v>
      </c>
      <c r="J10" s="219">
        <f>SUM(G10:I10)</f>
        <v>639000.56337119988</v>
      </c>
      <c r="K10" s="219">
        <f>[0]!ADAK046200col_1_27TH_PP</f>
        <v>0</v>
      </c>
      <c r="L10" s="218">
        <f>[0]!ADAK046200col_HEALTH_PERM_CHG</f>
        <v>0</v>
      </c>
      <c r="M10" s="218">
        <f>[0]!ADAK046200col_TOT_VB_PERM_CHG</f>
        <v>-2162.1308799999997</v>
      </c>
      <c r="N10" s="218">
        <f>SUM(L10:M10)</f>
        <v>-2162.1308799999997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4500</v>
      </c>
      <c r="AB10" s="335">
        <f>ROUND(PermVarBen*CECPerm+(CECPerm*PermVarBenChg),-2)</f>
        <v>1000</v>
      </c>
      <c r="AC10" s="335">
        <f>SUM(AA10:AB10)</f>
        <v>5500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[0]!ADAK046200col_Group_Salary</f>
        <v>0</v>
      </c>
      <c r="H11" s="218">
        <v>0</v>
      </c>
      <c r="I11" s="218">
        <f>[0]!ADAK046200col_Group_Ben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[0]!ADAK046200col_TOTAL_ELECT_PCN_FTI</f>
        <v>0</v>
      </c>
      <c r="G12" s="218">
        <f>[0]!ADAK046200col_FTI_SALARY_ELECT</f>
        <v>0</v>
      </c>
      <c r="H12" s="218">
        <f>[0]!ADAK046200col_HEALTH_ELECT</f>
        <v>0</v>
      </c>
      <c r="I12" s="218">
        <f>[0]!ADAK046200col_TOT_VB_ELECT</f>
        <v>0</v>
      </c>
      <c r="J12" s="219">
        <f>SUM(G12:I12)</f>
        <v>0</v>
      </c>
      <c r="K12" s="268"/>
      <c r="L12" s="218">
        <f>[0]!ADAK046200col_HEALTH_ELECT_CHG</f>
        <v>0</v>
      </c>
      <c r="M12" s="218">
        <f>[0]!ADAK046200col_TOT_VB_ELECT_CHG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7.1</v>
      </c>
      <c r="G13" s="221">
        <f>SUM(G10:G12)</f>
        <v>454477.92</v>
      </c>
      <c r="H13" s="221">
        <f>SUM(H10:H12)</f>
        <v>82715</v>
      </c>
      <c r="I13" s="221">
        <f>SUM(I10:I12)</f>
        <v>101807.64337119999</v>
      </c>
      <c r="J13" s="219">
        <f>SUM(G13:I13)</f>
        <v>639000.56337119988</v>
      </c>
      <c r="K13" s="268"/>
      <c r="L13" s="219">
        <f>SUM(L10:L12)</f>
        <v>0</v>
      </c>
      <c r="M13" s="219">
        <f>SUM(M10:M12)</f>
        <v>-2162.1308799999997</v>
      </c>
      <c r="N13" s="219">
        <f>SUM(N10:N12)</f>
        <v>-2162.1308799999997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"&amp;'ADAK|0462-00'!FiscalYear-1</f>
        <v>FY 2022</v>
      </c>
      <c r="D15" s="158" t="s">
        <v>31</v>
      </c>
      <c r="E15" s="355">
        <v>712300</v>
      </c>
      <c r="F15" s="55">
        <v>8.15</v>
      </c>
      <c r="G15" s="223">
        <f>IF(OrigApprop=0,0,(G13/$J$13)*OrigApprop)</f>
        <v>506610.85603448225</v>
      </c>
      <c r="H15" s="223">
        <f>IF(OrigApprop=0,0,(H13/$J$13)*OrigApprop)</f>
        <v>92203.196487284134</v>
      </c>
      <c r="I15" s="223">
        <f>IF(G15=0,0,(I13/$J$13)*OrigApprop)</f>
        <v>113485.94747823372</v>
      </c>
      <c r="J15" s="223">
        <f>SUM(G15:I15)</f>
        <v>712300.00000000012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1.0500000000000007</v>
      </c>
      <c r="G16" s="162">
        <f>G15-G13</f>
        <v>52132.936034482263</v>
      </c>
      <c r="H16" s="162">
        <f>H15-H13</f>
        <v>9488.1964872841345</v>
      </c>
      <c r="I16" s="162">
        <f>I15-I13</f>
        <v>11678.304107033735</v>
      </c>
      <c r="J16" s="162">
        <f>J15-J13</f>
        <v>73299.436628800235</v>
      </c>
      <c r="K16" s="269"/>
      <c r="L16" s="56" t="str">
        <f>IF('ADAK|0462-00'!OrigApprop=0,"ERROR! Enter Original Appropriation amount in DU 3.00!","Calculated "&amp;IF('ADAK|0462-00'!AdjustedTotal&gt;0,"overfunding ","underfunding ")&amp;"is "&amp;TEXT('ADAK|0462-00'!AdjustedTotal/'ADAK|0462-00'!AppropTotal,"#.0%;(#.0% );0% ;")&amp;" of Original Appropriation")</f>
        <v>Calculated overfunding is 10.3%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7.1</v>
      </c>
      <c r="G38" s="191">
        <f>SUMIF($E10:$E35,$E38,$G10:$G35)</f>
        <v>454477.92</v>
      </c>
      <c r="H38" s="192">
        <f>SUMIF($E10:$E35,$E38,$H10:$H35)</f>
        <v>82715</v>
      </c>
      <c r="I38" s="192">
        <f>SUMIF($E10:$E35,$E38,$I10:$I35)</f>
        <v>101807.64337119999</v>
      </c>
      <c r="J38" s="192">
        <f>SUM(G38:I38)</f>
        <v>639000.56337119988</v>
      </c>
      <c r="K38" s="166"/>
      <c r="L38" s="191">
        <f>SUMIF($E10:$E35,$E38,$L10:$L35)</f>
        <v>0</v>
      </c>
      <c r="M38" s="192">
        <f>SUMIF($E10:$E35,$E38,$M10:$M35)</f>
        <v>-2162.1308799999997</v>
      </c>
      <c r="N38" s="192">
        <f>SUM(L38:M38)</f>
        <v>-2162.1308799999997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4500</v>
      </c>
      <c r="AB38" s="338">
        <f>ROUND((AdjPermVB*CECPerm+AdjPermVBBY*CECPerm),-2)</f>
        <v>1000</v>
      </c>
      <c r="AC38" s="338">
        <f>SUM(AA38:AB38)</f>
        <v>5500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7.1</v>
      </c>
      <c r="G41" s="195">
        <f>SUM($G$38:$G$40)</f>
        <v>454477.92</v>
      </c>
      <c r="H41" s="162">
        <f>SUM($H$38:$H$40)</f>
        <v>82715</v>
      </c>
      <c r="I41" s="162">
        <f>SUM($I$38:$I$40)</f>
        <v>101807.64337119999</v>
      </c>
      <c r="J41" s="162">
        <f>SUM($J$38:$J$40)</f>
        <v>639000.56337119988</v>
      </c>
      <c r="K41" s="259"/>
      <c r="L41" s="195">
        <f>SUM($L$38:$L$40)</f>
        <v>0</v>
      </c>
      <c r="M41" s="162">
        <f>SUM($M$38:$M$40)</f>
        <v>-2162.1308799999997</v>
      </c>
      <c r="N41" s="162">
        <f>SUM(L41:M41)</f>
        <v>-2162.1308799999997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1.05</v>
      </c>
      <c r="G43" s="206">
        <f>ROUND(G51-G41,-2)</f>
        <v>52100</v>
      </c>
      <c r="H43" s="159">
        <f>ROUND(H51-H41,-2)</f>
        <v>9500</v>
      </c>
      <c r="I43" s="159">
        <f>ROUND(I51-I41,-2)</f>
        <v>11700</v>
      </c>
      <c r="J43" s="159">
        <f>SUM(G43:I43)</f>
        <v>73300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10.3%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1.05</v>
      </c>
      <c r="G44" s="206">
        <f>ROUND(G60-G41,-2)</f>
        <v>52100</v>
      </c>
      <c r="H44" s="159">
        <f>ROUND(H60-H41,-2)</f>
        <v>9500</v>
      </c>
      <c r="I44" s="159">
        <f>ROUND(I60-I41,-2)</f>
        <v>11700</v>
      </c>
      <c r="J44" s="159">
        <f>SUM(G44:I44)</f>
        <v>73300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10.3%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1.05</v>
      </c>
      <c r="G45" s="206">
        <f>ROUND(G67-G41-G63,-2)</f>
        <v>52100</v>
      </c>
      <c r="H45" s="206">
        <f>ROUND(H67-H41-H63,-2)</f>
        <v>9500</v>
      </c>
      <c r="I45" s="206">
        <f>ROUND(I67-I41-I63,-2)</f>
        <v>11700</v>
      </c>
      <c r="J45" s="159">
        <f>SUM(G45:I45)</f>
        <v>73300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712300</v>
      </c>
      <c r="F51" s="272">
        <f>AppropFTP</f>
        <v>8.15</v>
      </c>
      <c r="G51" s="274">
        <f>IF(E51=0,0,(G41/$J$41)*$E$51)</f>
        <v>506610.85603448225</v>
      </c>
      <c r="H51" s="274">
        <f>IF(E51=0,0,(H41/$J$41)*$E$51)</f>
        <v>92203.196487284134</v>
      </c>
      <c r="I51" s="275">
        <f>IF(E51=0,0,(I41/$J$41)*$E$51)</f>
        <v>113485.94747823372</v>
      </c>
      <c r="J51" s="90">
        <f>SUM(G51:I51)</f>
        <v>712300.00000000012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8.15</v>
      </c>
      <c r="G52" s="79">
        <f>ROUND(G51,-2)</f>
        <v>506600</v>
      </c>
      <c r="H52" s="79">
        <f>ROUND(H51,-2)</f>
        <v>92200</v>
      </c>
      <c r="I52" s="266">
        <f>ROUND(I51,-2)</f>
        <v>113500</v>
      </c>
      <c r="J52" s="80">
        <f>ROUND(J51,-2)</f>
        <v>712300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8.15</v>
      </c>
      <c r="G56" s="80">
        <f>SUM(G52:G55)</f>
        <v>506600</v>
      </c>
      <c r="H56" s="80">
        <f>SUM(H52:H55)</f>
        <v>92200</v>
      </c>
      <c r="I56" s="260">
        <f>SUM(I52:I55)</f>
        <v>113500</v>
      </c>
      <c r="J56" s="80">
        <f>SUM(J52:J55)</f>
        <v>712300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8.15</v>
      </c>
      <c r="G60" s="80">
        <f>SUM(G56:G59)</f>
        <v>506600</v>
      </c>
      <c r="H60" s="80">
        <f>SUM(H56:H59)</f>
        <v>92200</v>
      </c>
      <c r="I60" s="260">
        <f>SUM(I56:I59)</f>
        <v>113500</v>
      </c>
      <c r="J60" s="80">
        <f>SUM(J56:J59)</f>
        <v>712300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8.15</v>
      </c>
      <c r="G67" s="80">
        <f>SUM(G60:G64)</f>
        <v>506600</v>
      </c>
      <c r="H67" s="80">
        <f>SUM(H60:H64)</f>
        <v>92200</v>
      </c>
      <c r="I67" s="80">
        <f>SUM(I60:I64)</f>
        <v>113500</v>
      </c>
      <c r="J67" s="80">
        <f>SUM(J60:J64)</f>
        <v>712300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-2200</v>
      </c>
      <c r="J69" s="287">
        <f>SUM(G69:I69)</f>
        <v>-2200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4500</v>
      </c>
      <c r="H72" s="287"/>
      <c r="I72" s="287">
        <f>ROUND(($G72*PermVBBY+$G72*Retire1BY),-2)</f>
        <v>1000</v>
      </c>
      <c r="J72" s="113">
        <f>SUM(G72:I72)</f>
        <v>5500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8.15</v>
      </c>
      <c r="G75" s="80">
        <f>SUM(G67:G74)</f>
        <v>511100</v>
      </c>
      <c r="H75" s="80">
        <f>SUM(H67:H74)</f>
        <v>92200</v>
      </c>
      <c r="I75" s="80">
        <f>SUM(I67:I74)</f>
        <v>112300</v>
      </c>
      <c r="J75" s="80">
        <f>SUM(J67:K74)</f>
        <v>715600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8.15</v>
      </c>
      <c r="G80" s="80">
        <f>SUM(G75:G79)</f>
        <v>511100</v>
      </c>
      <c r="H80" s="80">
        <f>SUM(H75:H79)</f>
        <v>92200</v>
      </c>
      <c r="I80" s="80">
        <f>SUM(I75:I79)</f>
        <v>112300</v>
      </c>
      <c r="J80" s="80">
        <f>SUM(J75:J79)</f>
        <v>715600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5" priority="5">
      <formula>$J$44&lt;0</formula>
    </cfRule>
  </conditionalFormatting>
  <conditionalFormatting sqref="K43">
    <cfRule type="expression" dxfId="54" priority="4">
      <formula>$J$43&lt;0</formula>
    </cfRule>
  </conditionalFormatting>
  <conditionalFormatting sqref="L16">
    <cfRule type="expression" dxfId="53" priority="3">
      <formula>$J$16&lt;0</formula>
    </cfRule>
  </conditionalFormatting>
  <conditionalFormatting sqref="K45">
    <cfRule type="expression" dxfId="52" priority="2">
      <formula>$J$44&lt;0</formula>
    </cfRule>
  </conditionalFormatting>
  <conditionalFormatting sqref="K43:N45">
    <cfRule type="containsText" dxfId="5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4720D3-72F6-49E6-A9CE-DE1F3885A6F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B406-2597-4B98-8F85-FD4130C29F2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909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757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907</v>
      </c>
      <c r="J5" s="411"/>
      <c r="K5" s="411"/>
      <c r="L5" s="410"/>
      <c r="M5" s="352" t="s">
        <v>115</v>
      </c>
      <c r="N5" s="32" t="s">
        <v>908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"&amp;'ADAK|0519-00'!FiscalYear-1&amp;" SALARY"</f>
        <v>FY 2022 SALARY</v>
      </c>
      <c r="H8" s="50" t="str">
        <f>"FY "&amp;'ADAK|0519-00'!FiscalYear-1&amp;" HEALTH BENEFITS"</f>
        <v>FY 2022 HEALTH BENEFITS</v>
      </c>
      <c r="I8" s="50" t="str">
        <f>"FY "&amp;'ADAK|0519-00'!FiscalYear-1&amp;" VAR BENEFITS"</f>
        <v>FY 2022 VAR BENEFITS</v>
      </c>
      <c r="J8" s="50" t="str">
        <f>"FY "&amp;'ADAK|0519-00'!FiscalYear-1&amp;" TOTAL"</f>
        <v>FY 2022 TOTAL</v>
      </c>
      <c r="K8" s="50" t="str">
        <f>"FY "&amp;'ADAK|0519-00'!FiscalYear&amp;" SALARY CHANGE"</f>
        <v>FY 2023 SALARY CHANGE</v>
      </c>
      <c r="L8" s="50" t="str">
        <f>"FY "&amp;'ADAK|0519-00'!FiscalYear&amp;" CHG HEALTH BENEFITS"</f>
        <v>FY 2023 CHG HEALTH BENEFITS</v>
      </c>
      <c r="M8" s="50" t="str">
        <f>"FY "&amp;'ADAK|0519-00'!FiscalYear&amp;"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[0]!ADAK051900col_INC_FTI</f>
        <v>1</v>
      </c>
      <c r="G10" s="218">
        <f>[0]!ADAK051900col_FTI_SALARY_PERM</f>
        <v>76440</v>
      </c>
      <c r="H10" s="218">
        <f>[0]!ADAK051900col_HEALTH_PERM</f>
        <v>11650</v>
      </c>
      <c r="I10" s="218">
        <f>[0]!ADAK051900col_TOT_VB_PERM</f>
        <v>16962.8004</v>
      </c>
      <c r="J10" s="219">
        <f>SUM(G10:I10)</f>
        <v>105052.80040000001</v>
      </c>
      <c r="K10" s="219">
        <f>[0]!ADAK051900col_1_27TH_PP</f>
        <v>0</v>
      </c>
      <c r="L10" s="218">
        <f>[0]!ADAK051900col_HEALTH_PERM_CHG</f>
        <v>0</v>
      </c>
      <c r="M10" s="218">
        <f>[0]!ADAK051900col_TOT_VB_PERM_CHG</f>
        <v>-374.55599999999998</v>
      </c>
      <c r="N10" s="218">
        <f>SUM(L10:M10)</f>
        <v>-374.55599999999998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800</v>
      </c>
      <c r="AB10" s="335">
        <f>ROUND(PermVarBen*CECPerm+(CECPerm*PermVarBenChg),-2)</f>
        <v>200</v>
      </c>
      <c r="AC10" s="335">
        <f>SUM(AA10:AB10)</f>
        <v>1000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[0]!ADAK051900col_Group_Salary</f>
        <v>0</v>
      </c>
      <c r="H11" s="218">
        <v>0</v>
      </c>
      <c r="I11" s="218">
        <f>[0]!ADAK051900col_Group_Ben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[0]!ADAK051900col_TOTAL_ELECT_PCN_FTI</f>
        <v>0</v>
      </c>
      <c r="G12" s="218">
        <f>[0]!ADAK051900col_FTI_SALARY_ELECT</f>
        <v>0</v>
      </c>
      <c r="H12" s="218">
        <f>[0]!ADAK051900col_HEALTH_ELECT</f>
        <v>0</v>
      </c>
      <c r="I12" s="218">
        <f>[0]!ADAK051900col_TOT_VB_ELECT</f>
        <v>0</v>
      </c>
      <c r="J12" s="219">
        <f>SUM(G12:I12)</f>
        <v>0</v>
      </c>
      <c r="K12" s="268"/>
      <c r="L12" s="218">
        <f>[0]!ADAK051900col_HEALTH_ELECT_CHG</f>
        <v>0</v>
      </c>
      <c r="M12" s="218">
        <f>[0]!ADAK051900col_TOT_VB_ELECT_CHG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</v>
      </c>
      <c r="G13" s="221">
        <f>SUM(G10:G12)</f>
        <v>76440</v>
      </c>
      <c r="H13" s="221">
        <f>SUM(H10:H12)</f>
        <v>11650</v>
      </c>
      <c r="I13" s="221">
        <f>SUM(I10:I12)</f>
        <v>16962.8004</v>
      </c>
      <c r="J13" s="219">
        <f>SUM(G13:I13)</f>
        <v>105052.80040000001</v>
      </c>
      <c r="K13" s="268"/>
      <c r="L13" s="219">
        <f>SUM(L10:L12)</f>
        <v>0</v>
      </c>
      <c r="M13" s="219">
        <f>SUM(M10:M12)</f>
        <v>-374.55599999999998</v>
      </c>
      <c r="N13" s="219">
        <f>SUM(N10:N12)</f>
        <v>-374.55599999999998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"&amp;'ADAK|0519-00'!FiscalYear-1</f>
        <v>FY 2022</v>
      </c>
      <c r="D15" s="158" t="s">
        <v>31</v>
      </c>
      <c r="E15" s="355">
        <v>204700</v>
      </c>
      <c r="F15" s="55">
        <v>2</v>
      </c>
      <c r="G15" s="223">
        <f>IF(OrigApprop=0,0,(G13/$J$13)*OrigApprop)</f>
        <v>148946.70052032234</v>
      </c>
      <c r="H15" s="223">
        <f>IF(OrigApprop=0,0,(H13/$J$13)*OrigApprop)</f>
        <v>22700.537167212915</v>
      </c>
      <c r="I15" s="223">
        <f>IF(G15=0,0,(I13/$J$13)*OrigApprop)</f>
        <v>33052.762312464729</v>
      </c>
      <c r="J15" s="223">
        <f>SUM(G15:I15)</f>
        <v>204700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>
        <f>G15-G13</f>
        <v>72506.700520322338</v>
      </c>
      <c r="H16" s="162">
        <f>H15-H13</f>
        <v>11050.537167212915</v>
      </c>
      <c r="I16" s="162">
        <f>I15-I13</f>
        <v>16089.961912464729</v>
      </c>
      <c r="J16" s="162">
        <f>J15-J13</f>
        <v>99647.199599999993</v>
      </c>
      <c r="K16" s="269"/>
      <c r="L16" s="56" t="str">
        <f>IF('ADAK|0519-00'!OrigApprop=0,"ERROR! Enter Original Appropriation amount in DU 3.00!","Calculated "&amp;IF('ADAK|0519-00'!AdjustedTotal&gt;0,"overfunding ","underfunding ")&amp;"is "&amp;TEXT('ADAK|0519-00'!AdjustedTotal/'ADAK|0519-00'!AppropTotal,"#.0%;(#.0% );0% ;")&amp;" of Original Appropriation")</f>
        <v>Calculated overfunding is 48.7%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</v>
      </c>
      <c r="G38" s="191">
        <f>SUMIF($E10:$E35,$E38,$G10:$G35)</f>
        <v>76440</v>
      </c>
      <c r="H38" s="192">
        <f>SUMIF($E10:$E35,$E38,$H10:$H35)</f>
        <v>11650</v>
      </c>
      <c r="I38" s="192">
        <f>SUMIF($E10:$E35,$E38,$I10:$I35)</f>
        <v>16962.8004</v>
      </c>
      <c r="J38" s="192">
        <f>SUM(G38:I38)</f>
        <v>105052.80040000001</v>
      </c>
      <c r="K38" s="166"/>
      <c r="L38" s="191">
        <f>SUMIF($E10:$E35,$E38,$L10:$L35)</f>
        <v>0</v>
      </c>
      <c r="M38" s="192">
        <f>SUMIF($E10:$E35,$E38,$M10:$M35)</f>
        <v>-374.55599999999998</v>
      </c>
      <c r="N38" s="192">
        <f>SUM(L38:M38)</f>
        <v>-374.55599999999998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800</v>
      </c>
      <c r="AB38" s="338">
        <f>ROUND((AdjPermVB*CECPerm+AdjPermVBBY*CECPerm),-2)</f>
        <v>200</v>
      </c>
      <c r="AC38" s="338">
        <f>SUM(AA38:AB38)</f>
        <v>1000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</v>
      </c>
      <c r="G41" s="195">
        <f>SUM($G$38:$G$40)</f>
        <v>76440</v>
      </c>
      <c r="H41" s="162">
        <f>SUM($H$38:$H$40)</f>
        <v>11650</v>
      </c>
      <c r="I41" s="162">
        <f>SUM($I$38:$I$40)</f>
        <v>16962.8004</v>
      </c>
      <c r="J41" s="162">
        <f>SUM($J$38:$J$40)</f>
        <v>105052.80040000001</v>
      </c>
      <c r="K41" s="259"/>
      <c r="L41" s="195">
        <f>SUM($L$38:$L$40)</f>
        <v>0</v>
      </c>
      <c r="M41" s="162">
        <f>SUM($M$38:$M$40)</f>
        <v>-374.55599999999998</v>
      </c>
      <c r="N41" s="162">
        <f>SUM(L41:M41)</f>
        <v>-374.55599999999998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>
        <f>ROUND(G51-G41,-2)</f>
        <v>72500</v>
      </c>
      <c r="H43" s="159">
        <f>ROUND(H51-H41,-2)</f>
        <v>11100</v>
      </c>
      <c r="I43" s="159">
        <f>ROUND(I51-I41,-2)</f>
        <v>16100</v>
      </c>
      <c r="J43" s="159">
        <f>SUM(G43:I43)</f>
        <v>99700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48.7%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>
        <f>ROUND(G60-G41,-2)</f>
        <v>72500</v>
      </c>
      <c r="H44" s="159">
        <f>ROUND(H60-H41,-2)</f>
        <v>11100</v>
      </c>
      <c r="I44" s="159">
        <f>ROUND(I60-I41,-2)</f>
        <v>16100</v>
      </c>
      <c r="J44" s="159">
        <f>SUM(G44:I44)</f>
        <v>99700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48.7%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72500</v>
      </c>
      <c r="H45" s="206">
        <f>ROUND(H67-H41-H63,-2)</f>
        <v>11100</v>
      </c>
      <c r="I45" s="206">
        <f>ROUND(I67-I41-I63,-2)</f>
        <v>16100</v>
      </c>
      <c r="J45" s="159">
        <f>SUM(G45:I45)</f>
        <v>99700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48.7%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204700</v>
      </c>
      <c r="F51" s="272">
        <f>AppropFTP</f>
        <v>2</v>
      </c>
      <c r="G51" s="274">
        <f>IF(E51=0,0,(G41/$J$41)*$E$51)</f>
        <v>148946.70052032234</v>
      </c>
      <c r="H51" s="274">
        <f>IF(E51=0,0,(H41/$J$41)*$E$51)</f>
        <v>22700.537167212915</v>
      </c>
      <c r="I51" s="275">
        <f>IF(E51=0,0,(I41/$J$41)*$E$51)</f>
        <v>33052.762312464729</v>
      </c>
      <c r="J51" s="90">
        <f>SUM(G51:I51)</f>
        <v>204700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148900</v>
      </c>
      <c r="H52" s="79">
        <f>ROUND(H51,-2)</f>
        <v>22700</v>
      </c>
      <c r="I52" s="266">
        <f>ROUND(I51,-2)</f>
        <v>33100</v>
      </c>
      <c r="J52" s="80">
        <f>ROUND(J51,-2)</f>
        <v>204700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</v>
      </c>
      <c r="G56" s="80">
        <f>SUM(G52:G55)</f>
        <v>148900</v>
      </c>
      <c r="H56" s="80">
        <f>SUM(H52:H55)</f>
        <v>22700</v>
      </c>
      <c r="I56" s="260">
        <f>SUM(I52:I55)</f>
        <v>33100</v>
      </c>
      <c r="J56" s="80">
        <f>SUM(J52:J55)</f>
        <v>204700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</v>
      </c>
      <c r="G60" s="80">
        <f>SUM(G56:G59)</f>
        <v>148900</v>
      </c>
      <c r="H60" s="80">
        <f>SUM(H56:H59)</f>
        <v>22700</v>
      </c>
      <c r="I60" s="260">
        <f>SUM(I56:I59)</f>
        <v>33100</v>
      </c>
      <c r="J60" s="80">
        <f>SUM(J56:J59)</f>
        <v>204700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</v>
      </c>
      <c r="G67" s="80">
        <f>SUM(G60:G64)</f>
        <v>148900</v>
      </c>
      <c r="H67" s="80">
        <f>SUM(H60:H64)</f>
        <v>22700</v>
      </c>
      <c r="I67" s="80">
        <f>SUM(I60:I64)</f>
        <v>33100</v>
      </c>
      <c r="J67" s="80">
        <f>SUM(J60:J64)</f>
        <v>204700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800</v>
      </c>
      <c r="H72" s="287"/>
      <c r="I72" s="287">
        <f>ROUND(($G72*PermVBBY+$G72*Retire1BY),-2)</f>
        <v>200</v>
      </c>
      <c r="J72" s="113">
        <f>SUM(G72:I72)</f>
        <v>1000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</v>
      </c>
      <c r="G75" s="80">
        <f>SUM(G67:G74)</f>
        <v>149700</v>
      </c>
      <c r="H75" s="80">
        <f>SUM(H67:H74)</f>
        <v>22700</v>
      </c>
      <c r="I75" s="80">
        <f>SUM(I67:I74)</f>
        <v>32900</v>
      </c>
      <c r="J75" s="80">
        <f>SUM(J67:K74)</f>
        <v>205300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</v>
      </c>
      <c r="G80" s="80">
        <f>SUM(G75:G79)</f>
        <v>149700</v>
      </c>
      <c r="H80" s="80">
        <f>SUM(H75:H79)</f>
        <v>22700</v>
      </c>
      <c r="I80" s="80">
        <f>SUM(I75:I79)</f>
        <v>32900</v>
      </c>
      <c r="J80" s="80">
        <f>SUM(J75:J79)</f>
        <v>205300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0" priority="5">
      <formula>$J$44&lt;0</formula>
    </cfRule>
  </conditionalFormatting>
  <conditionalFormatting sqref="K43">
    <cfRule type="expression" dxfId="49" priority="4">
      <formula>$J$43&lt;0</formula>
    </cfRule>
  </conditionalFormatting>
  <conditionalFormatting sqref="L16">
    <cfRule type="expression" dxfId="48" priority="3">
      <formula>$J$16&lt;0</formula>
    </cfRule>
  </conditionalFormatting>
  <conditionalFormatting sqref="K45">
    <cfRule type="expression" dxfId="47" priority="2">
      <formula>$J$44&lt;0</formula>
    </cfRule>
  </conditionalFormatting>
  <conditionalFormatting sqref="K43:N45">
    <cfRule type="containsText" dxfId="4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4B30A3-3DA6-470E-BF32-F85415205AA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7614-22A1-4FD8-8960-3A59B8BE07D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890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963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964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888</v>
      </c>
      <c r="J5" s="411"/>
      <c r="K5" s="411"/>
      <c r="L5" s="410"/>
      <c r="M5" s="352" t="s">
        <v>115</v>
      </c>
      <c r="N5" s="32" t="s">
        <v>889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"&amp;'ADAM|0001-00'!FiscalYear-1&amp;" SALARY"</f>
        <v>FY 2022 SALARY</v>
      </c>
      <c r="H8" s="50" t="str">
        <f>"FY "&amp;'ADAM|0001-00'!FiscalYear-1&amp;" HEALTH BENEFITS"</f>
        <v>FY 2022 HEALTH BENEFITS</v>
      </c>
      <c r="I8" s="50" t="str">
        <f>"FY "&amp;'ADAM|0001-00'!FiscalYear-1&amp;" VAR BENEFITS"</f>
        <v>FY 2022 VAR BENEFITS</v>
      </c>
      <c r="J8" s="50" t="str">
        <f>"FY "&amp;'ADAM|0001-00'!FiscalYear-1&amp;" TOTAL"</f>
        <v>FY 2022 TOTAL</v>
      </c>
      <c r="K8" s="50" t="str">
        <f>"FY "&amp;'ADAM|0001-00'!FiscalYear&amp;" SALARY CHANGE"</f>
        <v>FY 2023 SALARY CHANGE</v>
      </c>
      <c r="L8" s="50" t="str">
        <f>"FY "&amp;'ADAM|0001-00'!FiscalYear&amp;" CHG HEALTH BENEFITS"</f>
        <v>FY 2023 CHG HEALTH BENEFITS</v>
      </c>
      <c r="M8" s="50" t="str">
        <f>"FY "&amp;'ADAM|0001-00'!FiscalYear&amp;"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[0]!ADAM000100col_INC_FTI</f>
        <v>0</v>
      </c>
      <c r="G10" s="218">
        <f>[0]!ADAM000100col_FTI_SALARY_PERM</f>
        <v>0</v>
      </c>
      <c r="H10" s="218">
        <f>[0]!ADAM000100col_HEALTH_PERM</f>
        <v>0</v>
      </c>
      <c r="I10" s="218">
        <f>[0]!ADAM000100col_TOT_VB_PERM</f>
        <v>0</v>
      </c>
      <c r="J10" s="219">
        <f>SUM(G10:I10)</f>
        <v>0</v>
      </c>
      <c r="K10" s="219">
        <f>[0]!ADAM000100col_1_27TH_PP</f>
        <v>0</v>
      </c>
      <c r="L10" s="218">
        <f>[0]!ADAM000100col_HEALTH_PERM_CHG</f>
        <v>0</v>
      </c>
      <c r="M10" s="218">
        <f>[0]!ADAM000100col_TOT_VB_PERM_CHG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[0]!ADAM000100col_Group_Salary</f>
        <v>0</v>
      </c>
      <c r="H11" s="218">
        <v>0</v>
      </c>
      <c r="I11" s="218">
        <f>[0]!ADAM000100col_Group_Ben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[0]!ADAM000100col_TOTAL_ELECT_PCN_FTI</f>
        <v>0</v>
      </c>
      <c r="G12" s="218">
        <f>[0]!ADAM000100col_FTI_SALARY_ELECT</f>
        <v>0</v>
      </c>
      <c r="H12" s="218">
        <f>[0]!ADAM000100col_HEALTH_ELECT</f>
        <v>0</v>
      </c>
      <c r="I12" s="218">
        <f>[0]!ADAM000100col_TOT_VB_ELECT</f>
        <v>0</v>
      </c>
      <c r="J12" s="219">
        <f>SUM(G12:I12)</f>
        <v>0</v>
      </c>
      <c r="K12" s="268"/>
      <c r="L12" s="218">
        <f>[0]!ADAM000100col_HEALTH_ELECT_CHG</f>
        <v>0</v>
      </c>
      <c r="M12" s="218">
        <f>[0]!ADAM000100col_TOT_VB_ELECT_CHG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"&amp;'ADAM|0001-00'!FiscalYear-1</f>
        <v>FY 2022</v>
      </c>
      <c r="D15" s="158" t="s">
        <v>31</v>
      </c>
      <c r="E15" s="355">
        <v>634000</v>
      </c>
      <c r="F15" s="55">
        <v>12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12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IF('ADAM|0001-00'!OrigApprop=0,"ERROR! Enter Original Appropriation amount in DU 3.00!","Calculated "&amp;IF('ADAM|0001-00'!AdjustedTotal&gt;0,"overfunding ","underfunding ")&amp;"is "&amp;TEXT('ADAM|0001-00'!AdjustedTotal/'ADAM|0001-00'!AppropTotal,"#.0%;(#.0%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12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8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12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8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12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8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634000</v>
      </c>
      <c r="F51" s="272">
        <f>AppropFTP</f>
        <v>12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12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12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12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12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12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12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5" priority="5">
      <formula>$J$44&lt;0</formula>
    </cfRule>
  </conditionalFormatting>
  <conditionalFormatting sqref="K43">
    <cfRule type="expression" dxfId="44" priority="4">
      <formula>$J$43&lt;0</formula>
    </cfRule>
  </conditionalFormatting>
  <conditionalFormatting sqref="L16">
    <cfRule type="expression" dxfId="43" priority="3">
      <formula>$J$16&lt;0</formula>
    </cfRule>
  </conditionalFormatting>
  <conditionalFormatting sqref="K45">
    <cfRule type="expression" dxfId="42" priority="2">
      <formula>$J$44&lt;0</formula>
    </cfRule>
  </conditionalFormatting>
  <conditionalFormatting sqref="K43:N45">
    <cfRule type="containsText" dxfId="4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ACDAD4-45F6-4A33-AB1A-727CCD8CC3D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3F96-350A-45EA-9B8F-963B8347C51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903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963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964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901</v>
      </c>
      <c r="J5" s="411"/>
      <c r="K5" s="411"/>
      <c r="L5" s="410"/>
      <c r="M5" s="352" t="s">
        <v>115</v>
      </c>
      <c r="N5" s="32" t="s">
        <v>902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"&amp;'ADAM|0450-00'!FiscalYear-1&amp;" SALARY"</f>
        <v>FY 2022 SALARY</v>
      </c>
      <c r="H8" s="50" t="str">
        <f>"FY "&amp;'ADAM|0450-00'!FiscalYear-1&amp;" HEALTH BENEFITS"</f>
        <v>FY 2022 HEALTH BENEFITS</v>
      </c>
      <c r="I8" s="50" t="str">
        <f>"FY "&amp;'ADAM|0450-00'!FiscalYear-1&amp;" VAR BENEFITS"</f>
        <v>FY 2022 VAR BENEFITS</v>
      </c>
      <c r="J8" s="50" t="str">
        <f>"FY "&amp;'ADAM|0450-00'!FiscalYear-1&amp;" TOTAL"</f>
        <v>FY 2022 TOTAL</v>
      </c>
      <c r="K8" s="50" t="str">
        <f>"FY "&amp;'ADAM|0450-00'!FiscalYear&amp;" SALARY CHANGE"</f>
        <v>FY 2023 SALARY CHANGE</v>
      </c>
      <c r="L8" s="50" t="str">
        <f>"FY "&amp;'ADAM|0450-00'!FiscalYear&amp;" CHG HEALTH BENEFITS"</f>
        <v>FY 2023 CHG HEALTH BENEFITS</v>
      </c>
      <c r="M8" s="50" t="str">
        <f>"FY "&amp;'ADAM|0450-00'!FiscalYear&amp;"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[0]!ADAM045000col_INC_FTI</f>
        <v>0</v>
      </c>
      <c r="G10" s="218">
        <f>[0]!ADAM045000col_FTI_SALARY_PERM</f>
        <v>0</v>
      </c>
      <c r="H10" s="218">
        <f>[0]!ADAM045000col_HEALTH_PERM</f>
        <v>0</v>
      </c>
      <c r="I10" s="218">
        <f>[0]!ADAM045000col_TOT_VB_PERM</f>
        <v>0</v>
      </c>
      <c r="J10" s="219">
        <f>SUM(G10:I10)</f>
        <v>0</v>
      </c>
      <c r="K10" s="219">
        <f>[0]!ADAM045000col_1_27TH_PP</f>
        <v>0</v>
      </c>
      <c r="L10" s="218">
        <f>[0]!ADAM045000col_HEALTH_PERM_CHG</f>
        <v>0</v>
      </c>
      <c r="M10" s="218">
        <f>[0]!ADAM045000col_TOT_VB_PERM_CHG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[0]!ADAM045000col_Group_Salary</f>
        <v>0</v>
      </c>
      <c r="H11" s="218">
        <v>0</v>
      </c>
      <c r="I11" s="218">
        <f>[0]!ADAM045000col_Group_Ben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[0]!ADAM045000col_TOTAL_ELECT_PCN_FTI</f>
        <v>0</v>
      </c>
      <c r="G12" s="218">
        <f>[0]!ADAM045000col_FTI_SALARY_ELECT</f>
        <v>0</v>
      </c>
      <c r="H12" s="218">
        <f>[0]!ADAM045000col_HEALTH_ELECT</f>
        <v>0</v>
      </c>
      <c r="I12" s="218">
        <f>[0]!ADAM045000col_TOT_VB_ELECT</f>
        <v>0</v>
      </c>
      <c r="J12" s="219">
        <f>SUM(G12:I12)</f>
        <v>0</v>
      </c>
      <c r="K12" s="268"/>
      <c r="L12" s="218">
        <f>[0]!ADAM045000col_HEALTH_ELECT_CHG</f>
        <v>0</v>
      </c>
      <c r="M12" s="218">
        <f>[0]!ADAM045000col_TOT_VB_ELECT_CHG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"&amp;'ADAM|0450-00'!FiscalYear-1</f>
        <v>FY 2022</v>
      </c>
      <c r="D15" s="158" t="s">
        <v>31</v>
      </c>
      <c r="E15" s="355">
        <v>375700</v>
      </c>
      <c r="F15" s="55">
        <v>4.5199999999999996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4.5199999999999996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IF('ADAM|0450-00'!OrigApprop=0,"ERROR! Enter Original Appropriation amount in DU 3.00!","Calculated "&amp;IF('ADAM|0450-00'!AdjustedTotal&gt;0,"overfunding ","underfunding ")&amp;"is "&amp;TEXT('ADAM|0450-00'!AdjustedTotal/'ADAM|0450-00'!AppropTotal,"#.0%;(#.0%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4.5199999999999996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8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4.5199999999999996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8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4.5199999999999996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8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375700</v>
      </c>
      <c r="F51" s="272">
        <f>AppropFTP</f>
        <v>4.5199999999999996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4.5199999999999996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4.5199999999999996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4.5199999999999996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4.5199999999999996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4.5199999999999996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4.5199999999999996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0" priority="5">
      <formula>$J$44&lt;0</formula>
    </cfRule>
  </conditionalFormatting>
  <conditionalFormatting sqref="K43">
    <cfRule type="expression" dxfId="39" priority="4">
      <formula>$J$43&lt;0</formula>
    </cfRule>
  </conditionalFormatting>
  <conditionalFormatting sqref="L16">
    <cfRule type="expression" dxfId="38" priority="3">
      <formula>$J$16&lt;0</formula>
    </cfRule>
  </conditionalFormatting>
  <conditionalFormatting sqref="K45">
    <cfRule type="expression" dxfId="37" priority="2">
      <formula>$J$44&lt;0</formula>
    </cfRule>
  </conditionalFormatting>
  <conditionalFormatting sqref="K43:N45">
    <cfRule type="containsText" dxfId="3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0CD7BD-558A-40A5-8FD7-9D5CF1EF978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591-9B22-49EA-88D9-7CC93984845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931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835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929</v>
      </c>
      <c r="J5" s="411"/>
      <c r="K5" s="411"/>
      <c r="L5" s="410"/>
      <c r="M5" s="352" t="s">
        <v>115</v>
      </c>
      <c r="N5" s="32" t="s">
        <v>930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"&amp;'ADAN|0456-00'!FiscalYear-1&amp;" SALARY"</f>
        <v>FY 2022 SALARY</v>
      </c>
      <c r="H8" s="50" t="str">
        <f>"FY "&amp;'ADAN|0456-00'!FiscalYear-1&amp;" HEALTH BENEFITS"</f>
        <v>FY 2022 HEALTH BENEFITS</v>
      </c>
      <c r="I8" s="50" t="str">
        <f>"FY "&amp;'ADAN|0456-00'!FiscalYear-1&amp;" VAR BENEFITS"</f>
        <v>FY 2022 VAR BENEFITS</v>
      </c>
      <c r="J8" s="50" t="str">
        <f>"FY "&amp;'ADAN|0456-00'!FiscalYear-1&amp;" TOTAL"</f>
        <v>FY 2022 TOTAL</v>
      </c>
      <c r="K8" s="50" t="str">
        <f>"FY "&amp;'ADAN|0456-00'!FiscalYear&amp;" SALARY CHANGE"</f>
        <v>FY 2023 SALARY CHANGE</v>
      </c>
      <c r="L8" s="50" t="str">
        <f>"FY "&amp;'ADAN|0456-00'!FiscalYear&amp;" CHG HEALTH BENEFITS"</f>
        <v>FY 2023 CHG HEALTH BENEFITS</v>
      </c>
      <c r="M8" s="50" t="str">
        <f>"FY "&amp;'ADAN|0456-00'!FiscalYear&amp;"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[0]!ADAN045600col_INC_FTI</f>
        <v>0.2</v>
      </c>
      <c r="G10" s="218">
        <f>[0]!ADAN045600col_FTI_SALARY_PERM</f>
        <v>10372.959999999999</v>
      </c>
      <c r="H10" s="218">
        <f>[0]!ADAN045600col_HEALTH_PERM</f>
        <v>2330</v>
      </c>
      <c r="I10" s="218">
        <f>[0]!ADAN045600col_TOT_VB_PERM</f>
        <v>2333.6048111999999</v>
      </c>
      <c r="J10" s="219">
        <f>SUM(G10:I10)</f>
        <v>15036.564811199998</v>
      </c>
      <c r="K10" s="219">
        <f>[0]!ADAN045600col_1_27TH_PP</f>
        <v>0</v>
      </c>
      <c r="L10" s="218">
        <f>[0]!ADAN045600col_HEALTH_PERM_CHG</f>
        <v>0</v>
      </c>
      <c r="M10" s="218">
        <f>[0]!ADAN045600col_TOT_VB_PERM_CHG</f>
        <v>-50.82750399999999</v>
      </c>
      <c r="N10" s="218">
        <f>SUM(L10:M10)</f>
        <v>-50.82750399999999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[0]!ADAN045600col_Group_Salary</f>
        <v>0</v>
      </c>
      <c r="H11" s="218">
        <v>0</v>
      </c>
      <c r="I11" s="218">
        <f>[0]!ADAN045600col_Group_Ben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[0]!ADAN045600col_TOTAL_ELECT_PCN_FTI</f>
        <v>0</v>
      </c>
      <c r="G12" s="218">
        <f>[0]!ADAN045600col_FTI_SALARY_ELECT</f>
        <v>0</v>
      </c>
      <c r="H12" s="218">
        <f>[0]!ADAN045600col_HEALTH_ELECT</f>
        <v>0</v>
      </c>
      <c r="I12" s="218">
        <f>[0]!ADAN045600col_TOT_VB_ELECT</f>
        <v>0</v>
      </c>
      <c r="J12" s="219">
        <f>SUM(G12:I12)</f>
        <v>0</v>
      </c>
      <c r="K12" s="268"/>
      <c r="L12" s="218">
        <f>[0]!ADAN045600col_HEALTH_ELECT_CHG</f>
        <v>0</v>
      </c>
      <c r="M12" s="218">
        <f>[0]!ADAN045600col_TOT_VB_ELECT_CHG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0.2</v>
      </c>
      <c r="G13" s="221">
        <f>SUM(G10:G12)</f>
        <v>10372.959999999999</v>
      </c>
      <c r="H13" s="221">
        <f>SUM(H10:H12)</f>
        <v>2330</v>
      </c>
      <c r="I13" s="221">
        <f>SUM(I10:I12)</f>
        <v>2333.6048111999999</v>
      </c>
      <c r="J13" s="219">
        <f>SUM(G13:I13)</f>
        <v>15036.564811199998</v>
      </c>
      <c r="K13" s="268"/>
      <c r="L13" s="219">
        <f>SUM(L10:L12)</f>
        <v>0</v>
      </c>
      <c r="M13" s="219">
        <f>SUM(M10:M12)</f>
        <v>-50.82750399999999</v>
      </c>
      <c r="N13" s="219">
        <f>SUM(N10:N12)</f>
        <v>-50.82750399999999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"&amp;'ADAN|0456-00'!FiscalYear-1</f>
        <v>FY 2022</v>
      </c>
      <c r="D15" s="158" t="s">
        <v>31</v>
      </c>
      <c r="E15" s="355">
        <v>20400</v>
      </c>
      <c r="F15" s="55">
        <v>0.25</v>
      </c>
      <c r="G15" s="223">
        <f>IF(OrigApprop=0,0,(G13/$J$13)*OrigApprop)</f>
        <v>14072.920687468677</v>
      </c>
      <c r="H15" s="223">
        <f>IF(OrigApprop=0,0,(H13/$J$13)*OrigApprop)</f>
        <v>3161.094345471497</v>
      </c>
      <c r="I15" s="223">
        <f>IF(G15=0,0,(I13/$J$13)*OrigApprop)</f>
        <v>3165.9849670598283</v>
      </c>
      <c r="J15" s="223">
        <f>SUM(G15:I15)</f>
        <v>20400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4.9999999999999989E-2</v>
      </c>
      <c r="G16" s="162">
        <f>G15-G13</f>
        <v>3699.9606874686779</v>
      </c>
      <c r="H16" s="162">
        <f>H15-H13</f>
        <v>831.09434547149704</v>
      </c>
      <c r="I16" s="162">
        <f>I15-I13</f>
        <v>832.38015585982839</v>
      </c>
      <c r="J16" s="162">
        <f>J15-J13</f>
        <v>5363.4351888000019</v>
      </c>
      <c r="K16" s="269"/>
      <c r="L16" s="56" t="str">
        <f>IF('ADAN|0456-00'!OrigApprop=0,"ERROR! Enter Original Appropriation amount in DU 3.00!","Calculated "&amp;IF('ADAN|0456-00'!AdjustedTotal&gt;0,"overfunding ","underfunding ")&amp;"is "&amp;TEXT('ADAN|0456-00'!AdjustedTotal/'ADAN|0456-00'!AppropTotal,"#.0%;(#.0% );0% ;")&amp;" of Original Appropriation")</f>
        <v>Calculated overfunding is 26.3%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0.2</v>
      </c>
      <c r="G38" s="191">
        <f>SUMIF($E10:$E35,$E38,$G10:$G35)</f>
        <v>10372.959999999999</v>
      </c>
      <c r="H38" s="192">
        <f>SUMIF($E10:$E35,$E38,$H10:$H35)</f>
        <v>2330</v>
      </c>
      <c r="I38" s="192">
        <f>SUMIF($E10:$E35,$E38,$I10:$I35)</f>
        <v>2333.6048111999999</v>
      </c>
      <c r="J38" s="192">
        <f>SUM(G38:I38)</f>
        <v>15036.564811199998</v>
      </c>
      <c r="K38" s="166"/>
      <c r="L38" s="191">
        <f>SUMIF($E10:$E35,$E38,$L10:$L35)</f>
        <v>0</v>
      </c>
      <c r="M38" s="192">
        <f>SUMIF($E10:$E35,$E38,$M10:$M35)</f>
        <v>-50.82750399999999</v>
      </c>
      <c r="N38" s="192">
        <f>SUM(L38:M38)</f>
        <v>-50.82750399999999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0.2</v>
      </c>
      <c r="G41" s="195">
        <f>SUM($G$38:$G$40)</f>
        <v>10372.959999999999</v>
      </c>
      <c r="H41" s="162">
        <f>SUM($H$38:$H$40)</f>
        <v>2330</v>
      </c>
      <c r="I41" s="162">
        <f>SUM($I$38:$I$40)</f>
        <v>2333.6048111999999</v>
      </c>
      <c r="J41" s="162">
        <f>SUM($J$38:$J$40)</f>
        <v>15036.564811199998</v>
      </c>
      <c r="K41" s="259"/>
      <c r="L41" s="195">
        <f>SUM($L$38:$L$40)</f>
        <v>0</v>
      </c>
      <c r="M41" s="162">
        <f>SUM($M$38:$M$40)</f>
        <v>-50.82750399999999</v>
      </c>
      <c r="N41" s="162">
        <f>SUM(L41:M41)</f>
        <v>-50.82750399999999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0.05</v>
      </c>
      <c r="G43" s="206">
        <f>ROUND(G51-G41,-2)</f>
        <v>3700</v>
      </c>
      <c r="H43" s="159">
        <f>ROUND(H51-H41,-2)</f>
        <v>800</v>
      </c>
      <c r="I43" s="159">
        <f>ROUND(I51-I41,-2)</f>
        <v>800</v>
      </c>
      <c r="J43" s="159">
        <f>SUM(G43:I43)</f>
        <v>5300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26.0%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0.05</v>
      </c>
      <c r="G44" s="206">
        <f>ROUND(G60-G41,-2)</f>
        <v>3700</v>
      </c>
      <c r="H44" s="159">
        <f>ROUND(H60-H41,-2)</f>
        <v>900</v>
      </c>
      <c r="I44" s="159">
        <f>ROUND(I60-I41,-2)</f>
        <v>900</v>
      </c>
      <c r="J44" s="159">
        <f>SUM(G44:I44)</f>
        <v>5500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27.0%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0.05</v>
      </c>
      <c r="G45" s="206">
        <f>ROUND(G67-G41-G63,-2)</f>
        <v>3700</v>
      </c>
      <c r="H45" s="206">
        <f>ROUND(H67-H41-H63,-2)</f>
        <v>900</v>
      </c>
      <c r="I45" s="206">
        <f>ROUND(I67-I41-I63,-2)</f>
        <v>900</v>
      </c>
      <c r="J45" s="159">
        <f>SUM(G45:I45)</f>
        <v>5500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27.0%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20400</v>
      </c>
      <c r="F51" s="272">
        <f>AppropFTP</f>
        <v>0.25</v>
      </c>
      <c r="G51" s="274">
        <f>IF(E51=0,0,(G41/$J$41)*$E$51)</f>
        <v>14072.920687468677</v>
      </c>
      <c r="H51" s="274">
        <f>IF(E51=0,0,(H41/$J$41)*$E$51)</f>
        <v>3161.094345471497</v>
      </c>
      <c r="I51" s="275">
        <f>IF(E51=0,0,(I41/$J$41)*$E$51)</f>
        <v>3165.9849670598283</v>
      </c>
      <c r="J51" s="90">
        <f>SUM(G51:I51)</f>
        <v>20400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0.25</v>
      </c>
      <c r="G52" s="79">
        <f>ROUND(G51,-2)</f>
        <v>14100</v>
      </c>
      <c r="H52" s="79">
        <f>ROUND(H51,-2)</f>
        <v>3200</v>
      </c>
      <c r="I52" s="266">
        <f>ROUND(I51,-2)</f>
        <v>3200</v>
      </c>
      <c r="J52" s="80">
        <f>ROUND(J51,-2)</f>
        <v>20400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0.25</v>
      </c>
      <c r="G56" s="80">
        <f>SUM(G52:G55)</f>
        <v>14100</v>
      </c>
      <c r="H56" s="80">
        <f>SUM(H52:H55)</f>
        <v>3200</v>
      </c>
      <c r="I56" s="260">
        <f>SUM(I52:I55)</f>
        <v>3200</v>
      </c>
      <c r="J56" s="80">
        <f>SUM(J52:J55)</f>
        <v>20400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0.25</v>
      </c>
      <c r="G60" s="80">
        <f>SUM(G56:G59)</f>
        <v>14100</v>
      </c>
      <c r="H60" s="80">
        <f>SUM(H56:H59)</f>
        <v>3200</v>
      </c>
      <c r="I60" s="260">
        <f>SUM(I56:I59)</f>
        <v>3200</v>
      </c>
      <c r="J60" s="80">
        <f>SUM(J56:J59)</f>
        <v>20400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0.25</v>
      </c>
      <c r="G67" s="80">
        <f>SUM(G60:G64)</f>
        <v>14100</v>
      </c>
      <c r="H67" s="80">
        <f>SUM(H60:H64)</f>
        <v>3200</v>
      </c>
      <c r="I67" s="80">
        <f>SUM(I60:I64)</f>
        <v>3200</v>
      </c>
      <c r="J67" s="80">
        <f>SUM(J60:J64)</f>
        <v>20400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0.25</v>
      </c>
      <c r="G75" s="80">
        <f>SUM(G67:G74)</f>
        <v>14200</v>
      </c>
      <c r="H75" s="80">
        <f>SUM(H67:H74)</f>
        <v>3200</v>
      </c>
      <c r="I75" s="80">
        <f>SUM(I67:I74)</f>
        <v>3100</v>
      </c>
      <c r="J75" s="80">
        <f>SUM(J67:K74)</f>
        <v>20400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0.25</v>
      </c>
      <c r="G80" s="80">
        <f>SUM(G75:G79)</f>
        <v>14200</v>
      </c>
      <c r="H80" s="80">
        <f>SUM(H75:H79)</f>
        <v>3200</v>
      </c>
      <c r="I80" s="80">
        <f>SUM(I75:I79)</f>
        <v>3100</v>
      </c>
      <c r="J80" s="80">
        <f>SUM(J75:J79)</f>
        <v>20400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5" priority="5">
      <formula>$J$44&lt;0</formula>
    </cfRule>
  </conditionalFormatting>
  <conditionalFormatting sqref="K43">
    <cfRule type="expression" dxfId="34" priority="4">
      <formula>$J$43&lt;0</formula>
    </cfRule>
  </conditionalFormatting>
  <conditionalFormatting sqref="L16">
    <cfRule type="expression" dxfId="33" priority="3">
      <formula>$J$16&lt;0</formula>
    </cfRule>
  </conditionalFormatting>
  <conditionalFormatting sqref="K45">
    <cfRule type="expression" dxfId="32" priority="2">
      <formula>$J$44&lt;0</formula>
    </cfRule>
  </conditionalFormatting>
  <conditionalFormatting sqref="K43:N45">
    <cfRule type="containsText" dxfId="3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AB07D8-6125-4217-935D-E4C9983E5A6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5A05-E486-4F19-8263-CA96F10BBE2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942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835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940</v>
      </c>
      <c r="J5" s="411"/>
      <c r="K5" s="411"/>
      <c r="L5" s="410"/>
      <c r="M5" s="352" t="s">
        <v>115</v>
      </c>
      <c r="N5" s="32" t="s">
        <v>941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"&amp;'ADAN|0461-00'!FiscalYear-1&amp;" SALARY"</f>
        <v>FY 2022 SALARY</v>
      </c>
      <c r="H8" s="50" t="str">
        <f>"FY "&amp;'ADAN|0461-00'!FiscalYear-1&amp;" HEALTH BENEFITS"</f>
        <v>FY 2022 HEALTH BENEFITS</v>
      </c>
      <c r="I8" s="50" t="str">
        <f>"FY "&amp;'ADAN|0461-00'!FiscalYear-1&amp;" VAR BENEFITS"</f>
        <v>FY 2022 VAR BENEFITS</v>
      </c>
      <c r="J8" s="50" t="str">
        <f>"FY "&amp;'ADAN|0461-00'!FiscalYear-1&amp;" TOTAL"</f>
        <v>FY 2022 TOTAL</v>
      </c>
      <c r="K8" s="50" t="str">
        <f>"FY "&amp;'ADAN|0461-00'!FiscalYear&amp;" SALARY CHANGE"</f>
        <v>FY 2023 SALARY CHANGE</v>
      </c>
      <c r="L8" s="50" t="str">
        <f>"FY "&amp;'ADAN|0461-00'!FiscalYear&amp;" CHG HEALTH BENEFITS"</f>
        <v>FY 2023 CHG HEALTH BENEFITS</v>
      </c>
      <c r="M8" s="50" t="str">
        <f>"FY "&amp;'ADAN|0461-00'!FiscalYear&amp;"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[0]!ADAN046100col_INC_FTI</f>
        <v>0.73</v>
      </c>
      <c r="G10" s="218">
        <f>[0]!ADAN046100col_FTI_SALARY_PERM</f>
        <v>40300.82</v>
      </c>
      <c r="H10" s="218">
        <f>[0]!ADAN046100col_HEALTH_PERM</f>
        <v>8504.5</v>
      </c>
      <c r="I10" s="218">
        <f>[0]!ADAN046100col_TOT_VB_PERM</f>
        <v>9013.8331298000012</v>
      </c>
      <c r="J10" s="219">
        <f>SUM(G10:I10)</f>
        <v>57819.153129800005</v>
      </c>
      <c r="K10" s="219">
        <f>[0]!ADAN046100col_1_27TH_PP</f>
        <v>0</v>
      </c>
      <c r="L10" s="218">
        <f>[0]!ADAN046100col_HEALTH_PERM_CHG</f>
        <v>0</v>
      </c>
      <c r="M10" s="218">
        <f>[0]!ADAN046100col_TOT_VB_PERM_CHG</f>
        <v>-165.06855399999998</v>
      </c>
      <c r="N10" s="218">
        <f>SUM(L10:M10)</f>
        <v>-165.06855399999998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[0]!ADAN046100col_Group_Salary</f>
        <v>0</v>
      </c>
      <c r="H11" s="218">
        <v>0</v>
      </c>
      <c r="I11" s="218">
        <f>[0]!ADAN046100col_Group_Ben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[0]!ADAN046100col_TOTAL_ELECT_PCN_FTI</f>
        <v>0</v>
      </c>
      <c r="G12" s="218">
        <f>[0]!ADAN046100col_FTI_SALARY_ELECT</f>
        <v>0</v>
      </c>
      <c r="H12" s="218">
        <f>[0]!ADAN046100col_HEALTH_ELECT</f>
        <v>0</v>
      </c>
      <c r="I12" s="218">
        <f>[0]!ADAN046100col_TOT_VB_ELECT</f>
        <v>0</v>
      </c>
      <c r="J12" s="219">
        <f>SUM(G12:I12)</f>
        <v>0</v>
      </c>
      <c r="K12" s="268"/>
      <c r="L12" s="218">
        <f>[0]!ADAN046100col_HEALTH_ELECT_CHG</f>
        <v>0</v>
      </c>
      <c r="M12" s="218">
        <f>[0]!ADAN046100col_TOT_VB_ELECT_CHG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0.73</v>
      </c>
      <c r="G13" s="221">
        <f>SUM(G10:G12)</f>
        <v>40300.82</v>
      </c>
      <c r="H13" s="221">
        <f>SUM(H10:H12)</f>
        <v>8504.5</v>
      </c>
      <c r="I13" s="221">
        <f>SUM(I10:I12)</f>
        <v>9013.8331298000012</v>
      </c>
      <c r="J13" s="219">
        <f>SUM(G13:I13)</f>
        <v>57819.153129800005</v>
      </c>
      <c r="K13" s="268"/>
      <c r="L13" s="219">
        <f>SUM(L10:L12)</f>
        <v>0</v>
      </c>
      <c r="M13" s="219">
        <f>SUM(M10:M12)</f>
        <v>-165.06855399999998</v>
      </c>
      <c r="N13" s="219">
        <f>SUM(N10:N12)</f>
        <v>-165.06855399999998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"&amp;'ADAN|0461-00'!FiscalYear-1</f>
        <v>FY 2022</v>
      </c>
      <c r="D15" s="158" t="s">
        <v>31</v>
      </c>
      <c r="E15" s="355">
        <v>75800</v>
      </c>
      <c r="F15" s="55">
        <v>0.66</v>
      </c>
      <c r="G15" s="223">
        <f>IF(OrigApprop=0,0,(G13/$J$13)*OrigApprop)</f>
        <v>52833.740908348831</v>
      </c>
      <c r="H15" s="223">
        <f>IF(OrigApprop=0,0,(H13/$J$13)*OrigApprop)</f>
        <v>11149.265686282628</v>
      </c>
      <c r="I15" s="223">
        <f>IF(G15=0,0,(I13/$J$13)*OrigApprop)</f>
        <v>11816.993405368536</v>
      </c>
      <c r="J15" s="223">
        <f>SUM(G15:I15)</f>
        <v>75800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-6.9999999999999951E-2</v>
      </c>
      <c r="G16" s="162">
        <f>G15-G13</f>
        <v>12532.920908348831</v>
      </c>
      <c r="H16" s="162">
        <f>H15-H13</f>
        <v>2644.7656862826279</v>
      </c>
      <c r="I16" s="162">
        <f>I15-I13</f>
        <v>2803.1602755685344</v>
      </c>
      <c r="J16" s="162">
        <f>J15-J13</f>
        <v>17980.846870199995</v>
      </c>
      <c r="K16" s="269"/>
      <c r="L16" s="56" t="str">
        <f>IF('ADAN|0461-00'!OrigApprop=0,"ERROR! Enter Original Appropriation amount in DU 3.00!","Calculated "&amp;IF('ADAN|0461-00'!AdjustedTotal&gt;0,"overfunding ","underfunding ")&amp;"is "&amp;TEXT('ADAN|0461-00'!AdjustedTotal/'ADAN|0461-00'!AppropTotal,"#.0%;(#.0% );0% ;")&amp;" of Original Appropriation")</f>
        <v>Calculated overfunding is 23.7%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0.73</v>
      </c>
      <c r="G38" s="191">
        <f>SUMIF($E10:$E35,$E38,$G10:$G35)</f>
        <v>40300.82</v>
      </c>
      <c r="H38" s="192">
        <f>SUMIF($E10:$E35,$E38,$H10:$H35)</f>
        <v>8504.5</v>
      </c>
      <c r="I38" s="192">
        <f>SUMIF($E10:$E35,$E38,$I10:$I35)</f>
        <v>9013.8331298000012</v>
      </c>
      <c r="J38" s="192">
        <f>SUM(G38:I38)</f>
        <v>57819.153129800005</v>
      </c>
      <c r="K38" s="166"/>
      <c r="L38" s="191">
        <f>SUMIF($E10:$E35,$E38,$L10:$L35)</f>
        <v>0</v>
      </c>
      <c r="M38" s="192">
        <f>SUMIF($E10:$E35,$E38,$M10:$M35)</f>
        <v>-165.06855399999998</v>
      </c>
      <c r="N38" s="192">
        <f>SUM(L38:M38)</f>
        <v>-165.06855399999998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0.73</v>
      </c>
      <c r="G41" s="195">
        <f>SUM($G$38:$G$40)</f>
        <v>40300.82</v>
      </c>
      <c r="H41" s="162">
        <f>SUM($H$38:$H$40)</f>
        <v>8504.5</v>
      </c>
      <c r="I41" s="162">
        <f>SUM($I$38:$I$40)</f>
        <v>9013.8331298000012</v>
      </c>
      <c r="J41" s="162">
        <f>SUM($J$38:$J$40)</f>
        <v>57819.153129800005</v>
      </c>
      <c r="K41" s="259"/>
      <c r="L41" s="195">
        <f>SUM($L$38:$L$40)</f>
        <v>0</v>
      </c>
      <c r="M41" s="162">
        <f>SUM($M$38:$M$40)</f>
        <v>-165.06855399999998</v>
      </c>
      <c r="N41" s="162">
        <f>SUM(L41:M41)</f>
        <v>-165.06855399999998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-7.0000000000000007E-2</v>
      </c>
      <c r="G43" s="206">
        <f>ROUND(G51-G41,-2)</f>
        <v>12500</v>
      </c>
      <c r="H43" s="159">
        <f>ROUND(H51-H41,-2)</f>
        <v>2600</v>
      </c>
      <c r="I43" s="159">
        <f>ROUND(I51-I41,-2)</f>
        <v>2800</v>
      </c>
      <c r="J43" s="159">
        <f>SUM(G43:I43)</f>
        <v>17900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23.6%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-7.0000000000000007E-2</v>
      </c>
      <c r="G44" s="206">
        <f>ROUND(G60-G41,-2)</f>
        <v>12500</v>
      </c>
      <c r="H44" s="159">
        <f>ROUND(H60-H41,-2)</f>
        <v>2600</v>
      </c>
      <c r="I44" s="159">
        <f>ROUND(I60-I41,-2)</f>
        <v>2800</v>
      </c>
      <c r="J44" s="159">
        <f>SUM(G44:I44)</f>
        <v>17900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23.6%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-7.0000000000000007E-2</v>
      </c>
      <c r="G45" s="206">
        <f>ROUND(G67-G41-G63,-2)</f>
        <v>12500</v>
      </c>
      <c r="H45" s="206">
        <f>ROUND(H67-H41-H63,-2)</f>
        <v>2600</v>
      </c>
      <c r="I45" s="206">
        <f>ROUND(I67-I41-I63,-2)</f>
        <v>2800</v>
      </c>
      <c r="J45" s="159">
        <f>SUM(G45:I45)</f>
        <v>17900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23.6%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75800</v>
      </c>
      <c r="F51" s="272">
        <f>AppropFTP</f>
        <v>0.66</v>
      </c>
      <c r="G51" s="274">
        <f>IF(E51=0,0,(G41/$J$41)*$E$51)</f>
        <v>52833.740908348831</v>
      </c>
      <c r="H51" s="274">
        <f>IF(E51=0,0,(H41/$J$41)*$E$51)</f>
        <v>11149.265686282628</v>
      </c>
      <c r="I51" s="275">
        <f>IF(E51=0,0,(I41/$J$41)*$E$51)</f>
        <v>11816.993405368536</v>
      </c>
      <c r="J51" s="90">
        <f>SUM(G51:I51)</f>
        <v>75800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0.66</v>
      </c>
      <c r="G52" s="79">
        <f>ROUND(G51,-2)</f>
        <v>52800</v>
      </c>
      <c r="H52" s="79">
        <f>ROUND(H51,-2)</f>
        <v>11100</v>
      </c>
      <c r="I52" s="266">
        <f>ROUND(I51,-2)</f>
        <v>11800</v>
      </c>
      <c r="J52" s="80">
        <f>ROUND(J51,-2)</f>
        <v>75800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0.66</v>
      </c>
      <c r="G56" s="80">
        <f>SUM(G52:G55)</f>
        <v>52800</v>
      </c>
      <c r="H56" s="80">
        <f>SUM(H52:H55)</f>
        <v>11100</v>
      </c>
      <c r="I56" s="260">
        <f>SUM(I52:I55)</f>
        <v>11800</v>
      </c>
      <c r="J56" s="80">
        <f>SUM(J52:J55)</f>
        <v>75800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0.66</v>
      </c>
      <c r="G60" s="80">
        <f>SUM(G56:G59)</f>
        <v>52800</v>
      </c>
      <c r="H60" s="80">
        <f>SUM(H56:H59)</f>
        <v>11100</v>
      </c>
      <c r="I60" s="260">
        <f>SUM(I56:I59)</f>
        <v>11800</v>
      </c>
      <c r="J60" s="80">
        <f>SUM(J56:J59)</f>
        <v>75800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0.66</v>
      </c>
      <c r="G67" s="80">
        <f>SUM(G60:G64)</f>
        <v>52800</v>
      </c>
      <c r="H67" s="80">
        <f>SUM(H60:H64)</f>
        <v>11100</v>
      </c>
      <c r="I67" s="80">
        <f>SUM(I60:I64)</f>
        <v>11800</v>
      </c>
      <c r="J67" s="80">
        <f>SUM(J60:J64)</f>
        <v>75800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0.66</v>
      </c>
      <c r="G75" s="80">
        <f>SUM(G67:G74)</f>
        <v>53200</v>
      </c>
      <c r="H75" s="80">
        <f>SUM(H67:H74)</f>
        <v>11100</v>
      </c>
      <c r="I75" s="80">
        <f>SUM(I67:I74)</f>
        <v>11700</v>
      </c>
      <c r="J75" s="80">
        <f>SUM(J67:K74)</f>
        <v>76100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0.66</v>
      </c>
      <c r="G80" s="80">
        <f>SUM(G75:G79)</f>
        <v>53200</v>
      </c>
      <c r="H80" s="80">
        <f>SUM(H75:H79)</f>
        <v>11100</v>
      </c>
      <c r="I80" s="80">
        <f>SUM(I75:I79)</f>
        <v>11700</v>
      </c>
      <c r="J80" s="80">
        <f>SUM(J75:J79)</f>
        <v>76100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0" priority="5">
      <formula>$J$44&lt;0</formula>
    </cfRule>
  </conditionalFormatting>
  <conditionalFormatting sqref="K43">
    <cfRule type="expression" dxfId="29" priority="4">
      <formula>$J$43&lt;0</formula>
    </cfRule>
  </conditionalFormatting>
  <conditionalFormatting sqref="L16">
    <cfRule type="expression" dxfId="28" priority="3">
      <formula>$J$16&lt;0</formula>
    </cfRule>
  </conditionalFormatting>
  <conditionalFormatting sqref="K45">
    <cfRule type="expression" dxfId="27" priority="2">
      <formula>$J$44&lt;0</formula>
    </cfRule>
  </conditionalFormatting>
  <conditionalFormatting sqref="K43:N45">
    <cfRule type="containsText" dxfId="2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329C0D-ED79-48A0-ADD5-7691D4BF0F9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C5F0-96B2-4F10-BBB4-22CC77420BF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947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835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945</v>
      </c>
      <c r="J5" s="411"/>
      <c r="K5" s="411"/>
      <c r="L5" s="410"/>
      <c r="M5" s="352" t="s">
        <v>115</v>
      </c>
      <c r="N5" s="32" t="s">
        <v>946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"&amp;'ADAN|0462-00'!FiscalYear-1&amp;" SALARY"</f>
        <v>FY 2022 SALARY</v>
      </c>
      <c r="H8" s="50" t="str">
        <f>"FY "&amp;'ADAN|0462-00'!FiscalYear-1&amp;" HEALTH BENEFITS"</f>
        <v>FY 2022 HEALTH BENEFITS</v>
      </c>
      <c r="I8" s="50" t="str">
        <f>"FY "&amp;'ADAN|0462-00'!FiscalYear-1&amp;" VAR BENEFITS"</f>
        <v>FY 2022 VAR BENEFITS</v>
      </c>
      <c r="J8" s="50" t="str">
        <f>"FY "&amp;'ADAN|0462-00'!FiscalYear-1&amp;" TOTAL"</f>
        <v>FY 2022 TOTAL</v>
      </c>
      <c r="K8" s="50" t="str">
        <f>"FY "&amp;'ADAN|0462-00'!FiscalYear&amp;" SALARY CHANGE"</f>
        <v>FY 2023 SALARY CHANGE</v>
      </c>
      <c r="L8" s="50" t="str">
        <f>"FY "&amp;'ADAN|0462-00'!FiscalYear&amp;" CHG HEALTH BENEFITS"</f>
        <v>FY 2023 CHG HEALTH BENEFITS</v>
      </c>
      <c r="M8" s="50" t="str">
        <f>"FY "&amp;'ADAN|0462-00'!FiscalYear&amp;"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[0]!ADAN046200col_INC_FTI</f>
        <v>0.48</v>
      </c>
      <c r="G10" s="218">
        <f>[0]!ADAN046200col_FTI_SALARY_PERM</f>
        <v>34550.450000000004</v>
      </c>
      <c r="H10" s="218">
        <f>[0]!ADAN046200col_HEALTH_PERM</f>
        <v>5592</v>
      </c>
      <c r="I10" s="218">
        <f>[0]!ADAN046200col_TOT_VB_PERM</f>
        <v>7755.3560901000001</v>
      </c>
      <c r="J10" s="219">
        <f>SUM(G10:I10)</f>
        <v>47897.806090100006</v>
      </c>
      <c r="K10" s="219">
        <f>[0]!ADAN046200col_1_27TH_PP</f>
        <v>0</v>
      </c>
      <c r="L10" s="218">
        <f>[0]!ADAN046200col_HEALTH_PERM_CHG</f>
        <v>0</v>
      </c>
      <c r="M10" s="218">
        <f>[0]!ADAN046200col_TOT_VB_PERM_CHG</f>
        <v>-169.29720499999999</v>
      </c>
      <c r="N10" s="218">
        <f>SUM(L10:M10)</f>
        <v>-169.29720499999999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300</v>
      </c>
      <c r="AB10" s="335">
        <f>ROUND(PermVarBen*CECPerm+(CECPerm*PermVarBenChg),-2)</f>
        <v>100</v>
      </c>
      <c r="AC10" s="335">
        <f>SUM(AA10:AB10)</f>
        <v>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[0]!ADAN046200col_Group_Salary</f>
        <v>0</v>
      </c>
      <c r="H11" s="218">
        <v>0</v>
      </c>
      <c r="I11" s="218">
        <f>[0]!ADAN046200col_Group_Ben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[0]!ADAN046200col_TOTAL_ELECT_PCN_FTI</f>
        <v>0</v>
      </c>
      <c r="G12" s="218">
        <f>[0]!ADAN046200col_FTI_SALARY_ELECT</f>
        <v>0</v>
      </c>
      <c r="H12" s="218">
        <f>[0]!ADAN046200col_HEALTH_ELECT</f>
        <v>0</v>
      </c>
      <c r="I12" s="218">
        <f>[0]!ADAN046200col_TOT_VB_ELECT</f>
        <v>0</v>
      </c>
      <c r="J12" s="219">
        <f>SUM(G12:I12)</f>
        <v>0</v>
      </c>
      <c r="K12" s="268"/>
      <c r="L12" s="218">
        <f>[0]!ADAN046200col_HEALTH_ELECT_CHG</f>
        <v>0</v>
      </c>
      <c r="M12" s="218">
        <f>[0]!ADAN046200col_TOT_VB_ELECT_CHG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0.48</v>
      </c>
      <c r="G13" s="221">
        <f>SUM(G10:G12)</f>
        <v>34550.450000000004</v>
      </c>
      <c r="H13" s="221">
        <f>SUM(H10:H12)</f>
        <v>5592</v>
      </c>
      <c r="I13" s="221">
        <f>SUM(I10:I12)</f>
        <v>7755.3560901000001</v>
      </c>
      <c r="J13" s="219">
        <f>SUM(G13:I13)</f>
        <v>47897.806090100006</v>
      </c>
      <c r="K13" s="268"/>
      <c r="L13" s="219">
        <f>SUM(L10:L12)</f>
        <v>0</v>
      </c>
      <c r="M13" s="219">
        <f>SUM(M10:M12)</f>
        <v>-169.29720499999999</v>
      </c>
      <c r="N13" s="219">
        <f>SUM(N10:N12)</f>
        <v>-169.29720499999999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"&amp;'ADAN|0462-00'!FiscalYear-1</f>
        <v>FY 2022</v>
      </c>
      <c r="D15" s="158" t="s">
        <v>31</v>
      </c>
      <c r="E15" s="355">
        <v>55200</v>
      </c>
      <c r="F15" s="55">
        <v>0.51</v>
      </c>
      <c r="G15" s="223">
        <f>IF(OrigApprop=0,0,(G13/$J$13)*OrigApprop)</f>
        <v>39817.791161716617</v>
      </c>
      <c r="H15" s="223">
        <f>IF(OrigApprop=0,0,(H13/$J$13)*OrigApprop)</f>
        <v>6444.5206408692011</v>
      </c>
      <c r="I15" s="223">
        <f>IF(G15=0,0,(I13/$J$13)*OrigApprop)</f>
        <v>8937.6881974141834</v>
      </c>
      <c r="J15" s="223">
        <f>SUM(G15:I15)</f>
        <v>55200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3.0000000000000027E-2</v>
      </c>
      <c r="G16" s="162">
        <f>G15-G13</f>
        <v>5267.341161716613</v>
      </c>
      <c r="H16" s="162">
        <f>H15-H13</f>
        <v>852.52064086920109</v>
      </c>
      <c r="I16" s="162">
        <f>I15-I13</f>
        <v>1182.3321073141833</v>
      </c>
      <c r="J16" s="162">
        <f>J15-J13</f>
        <v>7302.1939098999937</v>
      </c>
      <c r="K16" s="269"/>
      <c r="L16" s="56" t="str">
        <f>IF('ADAN|0462-00'!OrigApprop=0,"ERROR! Enter Original Appropriation amount in DU 3.00!","Calculated "&amp;IF('ADAN|0462-00'!AdjustedTotal&gt;0,"overfunding ","underfunding ")&amp;"is "&amp;TEXT('ADAN|0462-00'!AdjustedTotal/'ADAN|0462-00'!AppropTotal,"#.0%;(#.0% );0% ;")&amp;" of Original Appropriation")</f>
        <v>Calculated overfunding is 13.2%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0.48</v>
      </c>
      <c r="G38" s="191">
        <f>SUMIF($E10:$E35,$E38,$G10:$G35)</f>
        <v>34550.450000000004</v>
      </c>
      <c r="H38" s="192">
        <f>SUMIF($E10:$E35,$E38,$H10:$H35)</f>
        <v>5592</v>
      </c>
      <c r="I38" s="192">
        <f>SUMIF($E10:$E35,$E38,$I10:$I35)</f>
        <v>7755.3560901000001</v>
      </c>
      <c r="J38" s="192">
        <f>SUM(G38:I38)</f>
        <v>47897.806090100006</v>
      </c>
      <c r="K38" s="166"/>
      <c r="L38" s="191">
        <f>SUMIF($E10:$E35,$E38,$L10:$L35)</f>
        <v>0</v>
      </c>
      <c r="M38" s="192">
        <f>SUMIF($E10:$E35,$E38,$M10:$M35)</f>
        <v>-169.29720499999999</v>
      </c>
      <c r="N38" s="192">
        <f>SUM(L38:M38)</f>
        <v>-169.29720499999999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300</v>
      </c>
      <c r="AB38" s="338">
        <f>ROUND((AdjPermVB*CECPerm+AdjPermVBBY*CECPerm),-2)</f>
        <v>100</v>
      </c>
      <c r="AC38" s="338">
        <f>SUM(AA38:AB38)</f>
        <v>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0.48</v>
      </c>
      <c r="G41" s="195">
        <f>SUM($G$38:$G$40)</f>
        <v>34550.450000000004</v>
      </c>
      <c r="H41" s="162">
        <f>SUM($H$38:$H$40)</f>
        <v>5592</v>
      </c>
      <c r="I41" s="162">
        <f>SUM($I$38:$I$40)</f>
        <v>7755.3560901000001</v>
      </c>
      <c r="J41" s="162">
        <f>SUM($J$38:$J$40)</f>
        <v>47897.806090100006</v>
      </c>
      <c r="K41" s="259"/>
      <c r="L41" s="195">
        <f>SUM($L$38:$L$40)</f>
        <v>0</v>
      </c>
      <c r="M41" s="162">
        <f>SUM($M$38:$M$40)</f>
        <v>-169.29720499999999</v>
      </c>
      <c r="N41" s="162">
        <f>SUM(L41:M41)</f>
        <v>-169.29720499999999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0.03</v>
      </c>
      <c r="G43" s="206">
        <f>ROUND(G51-G41,-2)</f>
        <v>5300</v>
      </c>
      <c r="H43" s="159">
        <f>ROUND(H51-H41,-2)</f>
        <v>900</v>
      </c>
      <c r="I43" s="159">
        <f>ROUND(I51-I41,-2)</f>
        <v>1200</v>
      </c>
      <c r="J43" s="159">
        <f>SUM(G43:I43)</f>
        <v>7400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13.4%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0.03</v>
      </c>
      <c r="G44" s="206">
        <f>ROUND(G60-G41,-2)</f>
        <v>5200</v>
      </c>
      <c r="H44" s="159">
        <f>ROUND(H60-H41,-2)</f>
        <v>800</v>
      </c>
      <c r="I44" s="159">
        <f>ROUND(I60-I41,-2)</f>
        <v>1100</v>
      </c>
      <c r="J44" s="159">
        <f>SUM(G44:I44)</f>
        <v>7100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12.9%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0.03</v>
      </c>
      <c r="G45" s="206">
        <f>ROUND(G67-G41-G63,-2)</f>
        <v>5200</v>
      </c>
      <c r="H45" s="206">
        <f>ROUND(H67-H41-H63,-2)</f>
        <v>800</v>
      </c>
      <c r="I45" s="206">
        <f>ROUND(I67-I41-I63,-2)</f>
        <v>1100</v>
      </c>
      <c r="J45" s="159">
        <f>SUM(G45:I45)</f>
        <v>7100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55200</v>
      </c>
      <c r="F51" s="272">
        <f>AppropFTP</f>
        <v>0.51</v>
      </c>
      <c r="G51" s="274">
        <f>IF(E51=0,0,(G41/$J$41)*$E$51)</f>
        <v>39817.791161716617</v>
      </c>
      <c r="H51" s="274">
        <f>IF(E51=0,0,(H41/$J$41)*$E$51)</f>
        <v>6444.5206408692011</v>
      </c>
      <c r="I51" s="275">
        <f>IF(E51=0,0,(I41/$J$41)*$E$51)</f>
        <v>8937.6881974141834</v>
      </c>
      <c r="J51" s="90">
        <f>SUM(G51:I51)</f>
        <v>55200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0.51</v>
      </c>
      <c r="G52" s="79">
        <f>ROUND(G51,-2)</f>
        <v>39800</v>
      </c>
      <c r="H52" s="79">
        <f>ROUND(H51,-2)</f>
        <v>6400</v>
      </c>
      <c r="I52" s="266">
        <f>ROUND(I51,-2)</f>
        <v>8900</v>
      </c>
      <c r="J52" s="80">
        <f>ROUND(J51,-2)</f>
        <v>55200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0.51</v>
      </c>
      <c r="G56" s="80">
        <f>SUM(G52:G55)</f>
        <v>39800</v>
      </c>
      <c r="H56" s="80">
        <f>SUM(H52:H55)</f>
        <v>6400</v>
      </c>
      <c r="I56" s="260">
        <f>SUM(I52:I55)</f>
        <v>8900</v>
      </c>
      <c r="J56" s="80">
        <f>SUM(J52:J55)</f>
        <v>55200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0.51</v>
      </c>
      <c r="G60" s="80">
        <f>SUM(G56:G59)</f>
        <v>39800</v>
      </c>
      <c r="H60" s="80">
        <f>SUM(H56:H59)</f>
        <v>6400</v>
      </c>
      <c r="I60" s="260">
        <f>SUM(I56:I59)</f>
        <v>8900</v>
      </c>
      <c r="J60" s="80">
        <f>SUM(J56:J59)</f>
        <v>55200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0.51</v>
      </c>
      <c r="G67" s="80">
        <f>SUM(G60:G64)</f>
        <v>39800</v>
      </c>
      <c r="H67" s="80">
        <f>SUM(H60:H64)</f>
        <v>6400</v>
      </c>
      <c r="I67" s="80">
        <f>SUM(I60:I64)</f>
        <v>8900</v>
      </c>
      <c r="J67" s="80">
        <f>SUM(J60:J64)</f>
        <v>55200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300</v>
      </c>
      <c r="H72" s="287"/>
      <c r="I72" s="287">
        <f>ROUND(($G72*PermVBBY+$G72*Retire1BY),-2)</f>
        <v>100</v>
      </c>
      <c r="J72" s="113">
        <f>SUM(G72:I72)</f>
        <v>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0.51</v>
      </c>
      <c r="G75" s="80">
        <f>SUM(G67:G74)</f>
        <v>40100</v>
      </c>
      <c r="H75" s="80">
        <f>SUM(H67:H74)</f>
        <v>6400</v>
      </c>
      <c r="I75" s="80">
        <f>SUM(I67:I74)</f>
        <v>8800</v>
      </c>
      <c r="J75" s="80">
        <f>SUM(J67:K74)</f>
        <v>55400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0.51</v>
      </c>
      <c r="G80" s="80">
        <f>SUM(G75:G79)</f>
        <v>40100</v>
      </c>
      <c r="H80" s="80">
        <f>SUM(H75:H79)</f>
        <v>6400</v>
      </c>
      <c r="I80" s="80">
        <f>SUM(I75:I79)</f>
        <v>8800</v>
      </c>
      <c r="J80" s="80">
        <f>SUM(J75:J79)</f>
        <v>55400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5">
      <formula>$J$44&lt;0</formula>
    </cfRule>
  </conditionalFormatting>
  <conditionalFormatting sqref="K43">
    <cfRule type="expression" dxfId="24" priority="4">
      <formula>$J$43&lt;0</formula>
    </cfRule>
  </conditionalFormatting>
  <conditionalFormatting sqref="L16">
    <cfRule type="expression" dxfId="23" priority="3">
      <formula>$J$16&lt;0</formula>
    </cfRule>
  </conditionalFormatting>
  <conditionalFormatting sqref="K45">
    <cfRule type="expression" dxfId="22" priority="2">
      <formula>$J$44&lt;0</formula>
    </cfRule>
  </conditionalFormatting>
  <conditionalFormatting sqref="K43:N45">
    <cfRule type="containsText" dxfId="2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53970-BDC8-46CC-88BD-D35E11D809F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D299"/>
  <sheetViews>
    <sheetView workbookViewId="0">
      <pane xSplit="3" ySplit="1" topLeftCell="D259" activePane="bottomRight" state="frozen"/>
      <selection pane="topRight" activeCell="D1" sqref="D1"/>
      <selection pane="bottomLeft" activeCell="A2" sqref="A2"/>
      <selection pane="bottomRight" activeCell="AS266" sqref="AS266:BA299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.140625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59" width="10.5703125" bestFit="1" customWidth="1"/>
    <col min="60" max="60" width="9.5703125" bestFit="1" customWidth="1"/>
    <col min="61" max="61" width="9.42578125" bestFit="1" customWidth="1"/>
    <col min="62" max="62" width="10.5703125" bestFit="1" customWidth="1"/>
    <col min="63" max="63" width="9.140625" bestFit="1" customWidth="1"/>
    <col min="64" max="64" width="11.7109375" bestFit="1" customWidth="1"/>
    <col min="65" max="65" width="9.140625" bestFit="1" customWidth="1"/>
    <col min="66" max="66" width="11.7109375" bestFit="1" customWidth="1"/>
    <col min="67" max="67" width="9.140625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.140625" bestFit="1" customWidth="1"/>
    <col min="73" max="73" width="9.42578125" bestFit="1" customWidth="1"/>
    <col min="74" max="74" width="10.5703125" bestFit="1" customWidth="1"/>
    <col min="75" max="75" width="9.140625" bestFit="1" customWidth="1"/>
    <col min="76" max="76" width="11.7109375" bestFit="1" customWidth="1"/>
    <col min="77" max="83" width="9.140625" bestFit="1" customWidth="1"/>
    <col min="84" max="84" width="10.28515625" bestFit="1" customWidth="1"/>
    <col min="85" max="87" width="9.140625" bestFit="1" customWidth="1"/>
    <col min="88" max="88" width="10.28515625" bestFit="1" customWidth="1"/>
    <col min="89" max="89" width="9.140625" bestFit="1" customWidth="1"/>
    <col min="90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836</v>
      </c>
      <c r="AT1" s="386" t="s">
        <v>837</v>
      </c>
      <c r="AU1" s="386" t="s">
        <v>838</v>
      </c>
      <c r="AV1" s="386" t="s">
        <v>839</v>
      </c>
      <c r="AW1" s="386" t="s">
        <v>840</v>
      </c>
      <c r="AX1" s="386" t="s">
        <v>841</v>
      </c>
      <c r="AY1" s="386" t="s">
        <v>842</v>
      </c>
      <c r="AZ1" s="386" t="s">
        <v>843</v>
      </c>
      <c r="BA1" s="388" t="s">
        <v>844</v>
      </c>
      <c r="BB1" s="389" t="s">
        <v>845</v>
      </c>
      <c r="BC1" s="389" t="s">
        <v>846</v>
      </c>
      <c r="BD1" s="389" t="s">
        <v>847</v>
      </c>
      <c r="BE1" s="389" t="s">
        <v>848</v>
      </c>
      <c r="BF1" s="389" t="s">
        <v>849</v>
      </c>
      <c r="BG1" s="389" t="s">
        <v>850</v>
      </c>
      <c r="BH1" s="389" t="s">
        <v>851</v>
      </c>
      <c r="BI1" s="389" t="s">
        <v>852</v>
      </c>
      <c r="BJ1" s="389" t="s">
        <v>853</v>
      </c>
      <c r="BK1" s="389" t="s">
        <v>854</v>
      </c>
      <c r="BL1" s="390" t="s">
        <v>855</v>
      </c>
      <c r="BM1" s="390" t="s">
        <v>856</v>
      </c>
      <c r="BN1" s="389" t="s">
        <v>857</v>
      </c>
      <c r="BO1" s="389" t="s">
        <v>858</v>
      </c>
      <c r="BP1" s="389" t="s">
        <v>859</v>
      </c>
      <c r="BQ1" s="389" t="s">
        <v>860</v>
      </c>
      <c r="BR1" s="389" t="s">
        <v>861</v>
      </c>
      <c r="BS1" s="389" t="s">
        <v>862</v>
      </c>
      <c r="BT1" s="389" t="s">
        <v>863</v>
      </c>
      <c r="BU1" s="389" t="s">
        <v>864</v>
      </c>
      <c r="BV1" s="389" t="s">
        <v>865</v>
      </c>
      <c r="BW1" s="389" t="s">
        <v>866</v>
      </c>
      <c r="BX1" s="390" t="s">
        <v>867</v>
      </c>
      <c r="BY1" s="390" t="s">
        <v>868</v>
      </c>
      <c r="BZ1" s="389" t="s">
        <v>869</v>
      </c>
      <c r="CA1" s="389" t="s">
        <v>870</v>
      </c>
      <c r="CB1" s="389" t="s">
        <v>871</v>
      </c>
      <c r="CC1" s="389" t="s">
        <v>872</v>
      </c>
      <c r="CD1" s="389" t="s">
        <v>873</v>
      </c>
      <c r="CE1" s="389" t="s">
        <v>874</v>
      </c>
      <c r="CF1" s="389" t="s">
        <v>875</v>
      </c>
      <c r="CG1" s="389" t="s">
        <v>876</v>
      </c>
      <c r="CH1" s="389" t="s">
        <v>877</v>
      </c>
      <c r="CI1" s="389" t="s">
        <v>878</v>
      </c>
      <c r="CJ1" s="390" t="s">
        <v>879</v>
      </c>
      <c r="CK1" s="390" t="s">
        <v>880</v>
      </c>
      <c r="CL1" s="391" t="s">
        <v>881</v>
      </c>
      <c r="CM1" s="391" t="s">
        <v>882</v>
      </c>
      <c r="CN1" s="391" t="s">
        <v>883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0.05</v>
      </c>
      <c r="Q2" s="385">
        <v>0.05</v>
      </c>
      <c r="R2" s="380">
        <v>80</v>
      </c>
      <c r="S2" s="385">
        <v>0.05</v>
      </c>
      <c r="T2" s="380">
        <v>2944.4</v>
      </c>
      <c r="U2" s="380">
        <v>0</v>
      </c>
      <c r="V2" s="380">
        <v>1094.1300000000001</v>
      </c>
      <c r="W2" s="380">
        <v>3244.8</v>
      </c>
      <c r="X2" s="380">
        <v>1312.48</v>
      </c>
      <c r="Y2" s="380">
        <v>3244.8</v>
      </c>
      <c r="Z2" s="380">
        <v>1296.58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31.2</v>
      </c>
      <c r="AI2" s="381">
        <v>16254.3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5">
        <v>1</v>
      </c>
      <c r="AQ2" s="385">
        <v>0.05</v>
      </c>
      <c r="AR2" s="383" t="s">
        <v>183</v>
      </c>
      <c r="AS2" s="387">
        <f>IF(((AO2/80)*AP2*P2)&gt;1,AQ2,((AO2/80)*AP2*P2))</f>
        <v>0.05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IF(AT2=0,"",IF(AND(AT2=1,M2="F",SUMIF(C2:C206,C2,AS2:AS206)&lt;=1),SUMIF(C2:C206,C2,AS2:AS206),IF(AND(AT2=1,M2="F",SUMIF(C2:C206,C2,AS2:AS206)&gt;1),1,"")))</f>
        <v>1</v>
      </c>
      <c r="AV2" s="387" t="str">
        <f>IF(AT2=0,"",IF(AND(AT2=3,M2="F",SUMIF(C2:C206,C2,AS2:AS206)&lt;=1),SUMIF(C2:C206,C2,AS2:AS206),IF(AND(AT2=3,M2="F",SUMIF(C2:C206,C2,AS2:AS206)&gt;1),1,"")))</f>
        <v/>
      </c>
      <c r="AW2" s="387">
        <f>SUMIF(C2:C206,C2,O2:O206)</f>
        <v>4</v>
      </c>
      <c r="AX2" s="387">
        <f>IF(AND(M2="F",AS2&lt;&gt;0),SUMIF(C2:C206,C2,W2:W206),0)</f>
        <v>64896.000000000007</v>
      </c>
      <c r="AY2" s="387">
        <f>IF(AT2=1,W2,"")</f>
        <v>3244.8</v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582.5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201.17760000000001</v>
      </c>
      <c r="BE2" s="387">
        <f t="shared" ref="BE2:BE65" si="3">IF(AT2&lt;&gt;0,SSHI*W2,0)</f>
        <v>47.049600000000005</v>
      </c>
      <c r="BF2" s="387">
        <f t="shared" ref="BF2:BF65" si="4">IF(AND(AT2&lt;&gt;0,AN2&lt;&gt;"NE"),VLOOKUP(AN2,Retirement_Rates,3,FALSE)*W2,0)</f>
        <v>387.42912000000007</v>
      </c>
      <c r="BG2" s="387">
        <f t="shared" ref="BG2:BG65" si="5">IF(AND(AT2&lt;&gt;0,AJ2&lt;&gt;"PF"),Life*W2,0)</f>
        <v>23.395008000000001</v>
      </c>
      <c r="BH2" s="387">
        <f t="shared" ref="BH2:BH65" si="6">IF(AND(AT2&lt;&gt;0,AM2="Y"),UI*W2,0)</f>
        <v>15.899520000000001</v>
      </c>
      <c r="BI2" s="387">
        <f t="shared" ref="BI2:BI65" si="7">IF(AND(AT2&lt;&gt;0,N2&lt;&gt;"NR"),DHR*W2,0)</f>
        <v>9.9290880000000001</v>
      </c>
      <c r="BJ2" s="387">
        <f t="shared" ref="BJ2:BJ65" si="8">IF(AT2&lt;&gt;0,WC*W2,0)</f>
        <v>45.102719999999998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729.98265600000002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582.5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201.17760000000001</v>
      </c>
      <c r="BQ2" s="387">
        <f t="shared" ref="BQ2:BQ65" si="13">IF(AT2&lt;&gt;0,SSHIBY*W2,0)</f>
        <v>47.049600000000005</v>
      </c>
      <c r="BR2" s="387">
        <f t="shared" ref="BR2:BR65" si="14">IF(AND(AT2&lt;&gt;0,AN2&lt;&gt;"NE"),VLOOKUP(AN2,Retirement_Rates,4,FALSE)*W2,0)</f>
        <v>387.42912000000007</v>
      </c>
      <c r="BS2" s="387">
        <f t="shared" ref="BS2:BS65" si="15">IF(AND(AT2&lt;&gt;0,AJ2&lt;&gt;"PF"),LifeBY*W2,0)</f>
        <v>23.395008000000001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9.9290880000000001</v>
      </c>
      <c r="BV2" s="387">
        <f t="shared" ref="BV2:BV65" si="18">IF(AT2&lt;&gt;0,WCBY*W2,0)</f>
        <v>45.102719999999998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714.08313599999997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0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-15.899520000000001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0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-15.899520000000001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186</v>
      </c>
      <c r="K3" s="376" t="s">
        <v>187</v>
      </c>
      <c r="L3" s="376" t="s">
        <v>188</v>
      </c>
      <c r="M3" s="376" t="s">
        <v>171</v>
      </c>
      <c r="N3" s="376" t="s">
        <v>172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69590.899999999994</v>
      </c>
      <c r="U3" s="380">
        <v>0</v>
      </c>
      <c r="V3" s="380">
        <v>25161.040000000001</v>
      </c>
      <c r="W3" s="380">
        <v>62400</v>
      </c>
      <c r="X3" s="380">
        <v>25688.12</v>
      </c>
      <c r="Y3" s="380">
        <v>62400</v>
      </c>
      <c r="Z3" s="380">
        <v>25382.36</v>
      </c>
      <c r="AA3" s="376" t="s">
        <v>189</v>
      </c>
      <c r="AB3" s="376" t="s">
        <v>190</v>
      </c>
      <c r="AC3" s="376" t="s">
        <v>191</v>
      </c>
      <c r="AD3" s="376" t="s">
        <v>192</v>
      </c>
      <c r="AE3" s="376" t="s">
        <v>187</v>
      </c>
      <c r="AF3" s="376" t="s">
        <v>193</v>
      </c>
      <c r="AG3" s="376" t="s">
        <v>178</v>
      </c>
      <c r="AH3" s="379">
        <v>30</v>
      </c>
      <c r="AI3" s="381">
        <v>32677.7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183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IF(AT3=0,"",IF(AND(AT3=1,M3="F",SUMIF(C2:C206,C3,AS2:AS206)&lt;=1),SUMIF(C2:C206,C3,AS2:AS206),IF(AND(AT3=1,M3="F",SUMIF(C2:C206,C3,AS2:AS206)&gt;1),1,"")))</f>
        <v>1</v>
      </c>
      <c r="AV3" s="387" t="str">
        <f>IF(AT3=0,"",IF(AND(AT3=3,M3="F",SUMIF(C2:C206,C3,AS2:AS206)&lt;=1),SUMIF(C2:C206,C3,AS2:AS206),IF(AND(AT3=3,M3="F",SUMIF(C2:C206,C3,AS2:AS206)&gt;1),1,"")))</f>
        <v/>
      </c>
      <c r="AW3" s="387">
        <f>SUMIF(C2:C206,C3,O2:O206)</f>
        <v>2</v>
      </c>
      <c r="AX3" s="387">
        <f>IF(AND(M3="F",AS3&lt;&gt;0),SUMIF(C2:C206,C3,W2:W206),0)</f>
        <v>62400</v>
      </c>
      <c r="AY3" s="387">
        <f t="shared" ref="AY3:AY66" si="29">IF(AT3=1,W3,"")</f>
        <v>62400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3868.8</v>
      </c>
      <c r="BE3" s="387">
        <f t="shared" si="3"/>
        <v>904.80000000000007</v>
      </c>
      <c r="BF3" s="387">
        <f t="shared" si="4"/>
        <v>7450.56</v>
      </c>
      <c r="BG3" s="387">
        <f t="shared" si="5"/>
        <v>449.904</v>
      </c>
      <c r="BH3" s="387">
        <f t="shared" si="6"/>
        <v>305.76</v>
      </c>
      <c r="BI3" s="387">
        <f t="shared" si="7"/>
        <v>190.94399999999999</v>
      </c>
      <c r="BJ3" s="387">
        <f t="shared" si="8"/>
        <v>867.3599999999999</v>
      </c>
      <c r="BK3" s="387">
        <f t="shared" si="9"/>
        <v>0</v>
      </c>
      <c r="BL3" s="387">
        <f t="shared" ref="BL3:BL66" si="32">IF(AT3=1,SUM(BD3:BK3),0)</f>
        <v>14038.128000000001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3868.8</v>
      </c>
      <c r="BQ3" s="387">
        <f t="shared" si="13"/>
        <v>904.80000000000007</v>
      </c>
      <c r="BR3" s="387">
        <f t="shared" si="14"/>
        <v>7450.56</v>
      </c>
      <c r="BS3" s="387">
        <f t="shared" si="15"/>
        <v>449.904</v>
      </c>
      <c r="BT3" s="387">
        <f t="shared" si="16"/>
        <v>0</v>
      </c>
      <c r="BU3" s="387">
        <f t="shared" si="17"/>
        <v>190.94399999999999</v>
      </c>
      <c r="BV3" s="387">
        <f t="shared" si="18"/>
        <v>867.3599999999999</v>
      </c>
      <c r="BW3" s="387">
        <f t="shared" si="19"/>
        <v>0</v>
      </c>
      <c r="BX3" s="387">
        <f t="shared" ref="BX3:BX66" si="34">IF(AT3=1,SUM(BP3:BW3),0)</f>
        <v>13732.368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-305.76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66" si="39">IF(AT3=1,SUM(CB3:CI3),0)</f>
        <v>-305.76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194</v>
      </c>
      <c r="D4" s="376" t="s">
        <v>195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196</v>
      </c>
      <c r="K4" s="376" t="s">
        <v>197</v>
      </c>
      <c r="L4" s="376" t="s">
        <v>166</v>
      </c>
      <c r="M4" s="376" t="s">
        <v>171</v>
      </c>
      <c r="N4" s="376" t="s">
        <v>198</v>
      </c>
      <c r="O4" s="379">
        <v>1</v>
      </c>
      <c r="P4" s="385">
        <v>0.25</v>
      </c>
      <c r="Q4" s="385">
        <v>0.25</v>
      </c>
      <c r="R4" s="380">
        <v>80</v>
      </c>
      <c r="S4" s="385">
        <v>0.25</v>
      </c>
      <c r="T4" s="380">
        <v>30903.599999999999</v>
      </c>
      <c r="U4" s="380">
        <v>0</v>
      </c>
      <c r="V4" s="380">
        <v>8965.7000000000007</v>
      </c>
      <c r="W4" s="380">
        <v>33066.800000000003</v>
      </c>
      <c r="X4" s="380">
        <v>10088.32</v>
      </c>
      <c r="Y4" s="380">
        <v>33066.800000000003</v>
      </c>
      <c r="Z4" s="380">
        <v>10088.32</v>
      </c>
      <c r="AA4" s="376" t="s">
        <v>199</v>
      </c>
      <c r="AB4" s="376" t="s">
        <v>200</v>
      </c>
      <c r="AC4" s="376" t="s">
        <v>201</v>
      </c>
      <c r="AD4" s="376" t="s">
        <v>202</v>
      </c>
      <c r="AE4" s="376" t="s">
        <v>197</v>
      </c>
      <c r="AF4" s="376" t="s">
        <v>203</v>
      </c>
      <c r="AG4" s="376" t="s">
        <v>178</v>
      </c>
      <c r="AH4" s="381">
        <v>63.59</v>
      </c>
      <c r="AI4" s="379">
        <v>24698</v>
      </c>
      <c r="AJ4" s="376" t="s">
        <v>179</v>
      </c>
      <c r="AK4" s="376" t="s">
        <v>180</v>
      </c>
      <c r="AL4" s="376" t="s">
        <v>181</v>
      </c>
      <c r="AM4" s="376" t="s">
        <v>181</v>
      </c>
      <c r="AN4" s="376" t="s">
        <v>68</v>
      </c>
      <c r="AO4" s="379">
        <v>80</v>
      </c>
      <c r="AP4" s="385">
        <v>1</v>
      </c>
      <c r="AQ4" s="385">
        <v>0.25</v>
      </c>
      <c r="AR4" s="383" t="s">
        <v>183</v>
      </c>
      <c r="AS4" s="387">
        <f t="shared" si="27"/>
        <v>0.25</v>
      </c>
      <c r="AT4">
        <f t="shared" si="28"/>
        <v>1</v>
      </c>
      <c r="AU4" s="387">
        <f>IF(AT4=0,"",IF(AND(AT4=1,M4="F",SUMIF(C2:C206,C4,AS2:AS206)&lt;=1),SUMIF(C2:C206,C4,AS2:AS206),IF(AND(AT4=1,M4="F",SUMIF(C2:C206,C4,AS2:AS206)&gt;1),1,"")))</f>
        <v>1</v>
      </c>
      <c r="AV4" s="387" t="str">
        <f>IF(AT4=0,"",IF(AND(AT4=3,M4="F",SUMIF(C2:C206,C4,AS2:AS206)&lt;=1),SUMIF(C2:C206,C4,AS2:AS206),IF(AND(AT4=3,M4="F",SUMIF(C2:C206,C4,AS2:AS206)&gt;1),1,"")))</f>
        <v/>
      </c>
      <c r="AW4" s="387">
        <f>SUMIF(C2:C206,C4,O2:O206)</f>
        <v>7</v>
      </c>
      <c r="AX4" s="387">
        <f>IF(AND(M4="F",AS4&lt;&gt;0),SUMIF(C2:C206,C4,W2:W206),0)</f>
        <v>132267.19</v>
      </c>
      <c r="AY4" s="387">
        <f t="shared" si="29"/>
        <v>33066.800000000003</v>
      </c>
      <c r="AZ4" s="387" t="str">
        <f t="shared" si="30"/>
        <v/>
      </c>
      <c r="BA4" s="387">
        <f t="shared" si="31"/>
        <v>0</v>
      </c>
      <c r="BB4" s="387">
        <f t="shared" si="0"/>
        <v>2912.5</v>
      </c>
      <c r="BC4" s="387">
        <f t="shared" si="1"/>
        <v>0</v>
      </c>
      <c r="BD4" s="387">
        <f t="shared" si="2"/>
        <v>2050.1416000000004</v>
      </c>
      <c r="BE4" s="387">
        <f t="shared" si="3"/>
        <v>479.46860000000009</v>
      </c>
      <c r="BF4" s="387">
        <f t="shared" si="4"/>
        <v>3948.1759200000006</v>
      </c>
      <c r="BG4" s="387">
        <f t="shared" si="5"/>
        <v>238.41162800000004</v>
      </c>
      <c r="BH4" s="387">
        <f t="shared" si="6"/>
        <v>0</v>
      </c>
      <c r="BI4" s="387">
        <f t="shared" si="7"/>
        <v>0</v>
      </c>
      <c r="BJ4" s="387">
        <f t="shared" si="8"/>
        <v>459.62852000000004</v>
      </c>
      <c r="BK4" s="387">
        <f t="shared" si="9"/>
        <v>0</v>
      </c>
      <c r="BL4" s="387">
        <f t="shared" si="32"/>
        <v>7175.8262680000007</v>
      </c>
      <c r="BM4" s="387">
        <f t="shared" si="33"/>
        <v>0</v>
      </c>
      <c r="BN4" s="387">
        <f t="shared" si="10"/>
        <v>2912.5</v>
      </c>
      <c r="BO4" s="387">
        <f t="shared" si="11"/>
        <v>0</v>
      </c>
      <c r="BP4" s="387">
        <f t="shared" si="12"/>
        <v>2050.1416000000004</v>
      </c>
      <c r="BQ4" s="387">
        <f t="shared" si="13"/>
        <v>479.46860000000009</v>
      </c>
      <c r="BR4" s="387">
        <f t="shared" si="14"/>
        <v>3948.1759200000006</v>
      </c>
      <c r="BS4" s="387">
        <f t="shared" si="15"/>
        <v>238.41162800000004</v>
      </c>
      <c r="BT4" s="387">
        <f t="shared" si="16"/>
        <v>0</v>
      </c>
      <c r="BU4" s="387">
        <f t="shared" si="17"/>
        <v>0</v>
      </c>
      <c r="BV4" s="387">
        <f t="shared" si="18"/>
        <v>459.62852000000004</v>
      </c>
      <c r="BW4" s="387">
        <f t="shared" si="19"/>
        <v>0</v>
      </c>
      <c r="BX4" s="387">
        <f t="shared" si="34"/>
        <v>7175.8262680000007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204</v>
      </c>
      <c r="D5" s="376" t="s">
        <v>205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196</v>
      </c>
      <c r="K5" s="376" t="s">
        <v>206</v>
      </c>
      <c r="L5" s="376" t="s">
        <v>166</v>
      </c>
      <c r="M5" s="376" t="s">
        <v>207</v>
      </c>
      <c r="N5" s="376" t="s">
        <v>208</v>
      </c>
      <c r="O5" s="379">
        <v>0</v>
      </c>
      <c r="P5" s="385">
        <v>0.3</v>
      </c>
      <c r="Q5" s="385">
        <v>0</v>
      </c>
      <c r="R5" s="380">
        <v>0</v>
      </c>
      <c r="S5" s="385">
        <v>0</v>
      </c>
      <c r="T5" s="380">
        <v>0</v>
      </c>
      <c r="U5" s="380">
        <v>0</v>
      </c>
      <c r="V5" s="380">
        <v>0</v>
      </c>
      <c r="W5" s="380">
        <v>0</v>
      </c>
      <c r="X5" s="380">
        <v>0</v>
      </c>
      <c r="Y5" s="380">
        <v>0</v>
      </c>
      <c r="Z5" s="380">
        <v>0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181</v>
      </c>
      <c r="AM5" s="378"/>
      <c r="AN5" s="378"/>
      <c r="AO5" s="379">
        <v>0</v>
      </c>
      <c r="AP5" s="385">
        <v>0</v>
      </c>
      <c r="AQ5" s="385">
        <v>0</v>
      </c>
      <c r="AR5" s="384"/>
      <c r="AS5" s="387">
        <f t="shared" si="27"/>
        <v>0</v>
      </c>
      <c r="AT5">
        <f t="shared" si="28"/>
        <v>0</v>
      </c>
      <c r="AU5" s="387" t="str">
        <f>IF(AT5=0,"",IF(AND(AT5=1,M5="F",SUMIF(C2:C206,C5,AS2:AS206)&lt;=1),SUMIF(C2:C206,C5,AS2:AS206),IF(AND(AT5=1,M5="F",SUMIF(C2:C206,C5,AS2:AS206)&gt;1),1,"")))</f>
        <v/>
      </c>
      <c r="AV5" s="387" t="str">
        <f>IF(AT5=0,"",IF(AND(AT5=3,M5="F",SUMIF(C2:C206,C5,AS2:AS206)&lt;=1),SUMIF(C2:C206,C5,AS2:AS206),IF(AND(AT5=3,M5="F",SUMIF(C2:C206,C5,AS2:AS206)&gt;1),1,"")))</f>
        <v/>
      </c>
      <c r="AW5" s="387">
        <f>SUMIF(C2:C206,C5,O2:O206)</f>
        <v>0</v>
      </c>
      <c r="AX5" s="387">
        <f>IF(AND(M5="F",AS5&lt;&gt;0),SUMIF(C2:C206,C5,W2:W206),0)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0</v>
      </c>
      <c r="CM5" s="387">
        <f t="shared" si="42"/>
        <v>0</v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209</v>
      </c>
      <c r="D6" s="376" t="s">
        <v>210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211</v>
      </c>
      <c r="L6" s="376" t="s">
        <v>166</v>
      </c>
      <c r="M6" s="376" t="s">
        <v>171</v>
      </c>
      <c r="N6" s="376" t="s">
        <v>198</v>
      </c>
      <c r="O6" s="379">
        <v>1</v>
      </c>
      <c r="P6" s="385">
        <v>0.2</v>
      </c>
      <c r="Q6" s="385">
        <v>0.2</v>
      </c>
      <c r="R6" s="380">
        <v>80</v>
      </c>
      <c r="S6" s="385">
        <v>0.2</v>
      </c>
      <c r="T6" s="380">
        <v>22137.279999999999</v>
      </c>
      <c r="U6" s="380">
        <v>0</v>
      </c>
      <c r="V6" s="380">
        <v>6809.82</v>
      </c>
      <c r="W6" s="380">
        <v>22821.759999999998</v>
      </c>
      <c r="X6" s="380">
        <v>7394.37</v>
      </c>
      <c r="Y6" s="380">
        <v>22821.759999999998</v>
      </c>
      <c r="Z6" s="380">
        <v>7282.54</v>
      </c>
      <c r="AA6" s="376" t="s">
        <v>212</v>
      </c>
      <c r="AB6" s="376" t="s">
        <v>213</v>
      </c>
      <c r="AC6" s="376" t="s">
        <v>214</v>
      </c>
      <c r="AD6" s="376" t="s">
        <v>215</v>
      </c>
      <c r="AE6" s="376" t="s">
        <v>211</v>
      </c>
      <c r="AF6" s="376" t="s">
        <v>203</v>
      </c>
      <c r="AG6" s="376" t="s">
        <v>178</v>
      </c>
      <c r="AH6" s="381">
        <v>54.86</v>
      </c>
      <c r="AI6" s="381">
        <v>4367.1000000000004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385">
        <v>1</v>
      </c>
      <c r="AQ6" s="385">
        <v>0.2</v>
      </c>
      <c r="AR6" s="383" t="s">
        <v>183</v>
      </c>
      <c r="AS6" s="387">
        <f t="shared" si="27"/>
        <v>0.2</v>
      </c>
      <c r="AT6">
        <f t="shared" si="28"/>
        <v>1</v>
      </c>
      <c r="AU6" s="387">
        <f>IF(AT6=0,"",IF(AND(AT6=1,M6="F",SUMIF(C2:C206,C6,AS2:AS206)&lt;=1),SUMIF(C2:C206,C6,AS2:AS206),IF(AND(AT6=1,M6="F",SUMIF(C2:C206,C6,AS2:AS206)&gt;1),1,"")))</f>
        <v>1</v>
      </c>
      <c r="AV6" s="387" t="str">
        <f>IF(AT6=0,"",IF(AND(AT6=3,M6="F",SUMIF(C2:C206,C6,AS2:AS206)&lt;=1),SUMIF(C2:C206,C6,AS2:AS206),IF(AND(AT6=3,M6="F",SUMIF(C2:C206,C6,AS2:AS206)&gt;1),1,"")))</f>
        <v/>
      </c>
      <c r="AW6" s="387">
        <f>SUMIF(C2:C206,C6,O2:O206)</f>
        <v>4</v>
      </c>
      <c r="AX6" s="387">
        <f>IF(AND(M6="F",AS6&lt;&gt;0),SUMIF(C2:C206,C6,W2:W206),0)</f>
        <v>114108.8</v>
      </c>
      <c r="AY6" s="387">
        <f t="shared" si="29"/>
        <v>22821.759999999998</v>
      </c>
      <c r="AZ6" s="387" t="str">
        <f t="shared" si="30"/>
        <v/>
      </c>
      <c r="BA6" s="387">
        <f t="shared" si="31"/>
        <v>0</v>
      </c>
      <c r="BB6" s="387">
        <f t="shared" si="0"/>
        <v>2330</v>
      </c>
      <c r="BC6" s="387">
        <f t="shared" si="1"/>
        <v>0</v>
      </c>
      <c r="BD6" s="387">
        <f t="shared" si="2"/>
        <v>1414.94912</v>
      </c>
      <c r="BE6" s="387">
        <f t="shared" si="3"/>
        <v>330.91552000000001</v>
      </c>
      <c r="BF6" s="387">
        <f t="shared" si="4"/>
        <v>2724.9181439999998</v>
      </c>
      <c r="BG6" s="387">
        <f t="shared" si="5"/>
        <v>164.5448896</v>
      </c>
      <c r="BH6" s="387">
        <f t="shared" si="6"/>
        <v>111.826624</v>
      </c>
      <c r="BI6" s="387">
        <f t="shared" si="7"/>
        <v>0</v>
      </c>
      <c r="BJ6" s="387">
        <f t="shared" si="8"/>
        <v>317.22246399999995</v>
      </c>
      <c r="BK6" s="387">
        <f t="shared" si="9"/>
        <v>0</v>
      </c>
      <c r="BL6" s="387">
        <f t="shared" si="32"/>
        <v>5064.3767616000005</v>
      </c>
      <c r="BM6" s="387">
        <f t="shared" si="33"/>
        <v>0</v>
      </c>
      <c r="BN6" s="387">
        <f t="shared" si="10"/>
        <v>2330</v>
      </c>
      <c r="BO6" s="387">
        <f t="shared" si="11"/>
        <v>0</v>
      </c>
      <c r="BP6" s="387">
        <f t="shared" si="12"/>
        <v>1414.94912</v>
      </c>
      <c r="BQ6" s="387">
        <f t="shared" si="13"/>
        <v>330.91552000000001</v>
      </c>
      <c r="BR6" s="387">
        <f t="shared" si="14"/>
        <v>2724.9181439999998</v>
      </c>
      <c r="BS6" s="387">
        <f t="shared" si="15"/>
        <v>164.5448896</v>
      </c>
      <c r="BT6" s="387">
        <f t="shared" si="16"/>
        <v>0</v>
      </c>
      <c r="BU6" s="387">
        <f t="shared" si="17"/>
        <v>0</v>
      </c>
      <c r="BV6" s="387">
        <f t="shared" si="18"/>
        <v>317.22246399999995</v>
      </c>
      <c r="BW6" s="387">
        <f t="shared" si="19"/>
        <v>0</v>
      </c>
      <c r="BX6" s="387">
        <f t="shared" si="34"/>
        <v>4952.5501375999993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-111.826624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-111.826624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204</v>
      </c>
      <c r="D7" s="376" t="s">
        <v>205</v>
      </c>
      <c r="E7" s="376" t="s">
        <v>216</v>
      </c>
      <c r="F7" s="377" t="s">
        <v>166</v>
      </c>
      <c r="G7" s="376" t="s">
        <v>167</v>
      </c>
      <c r="H7" s="378"/>
      <c r="I7" s="378"/>
      <c r="J7" s="376" t="s">
        <v>196</v>
      </c>
      <c r="K7" s="376" t="s">
        <v>206</v>
      </c>
      <c r="L7" s="376" t="s">
        <v>166</v>
      </c>
      <c r="M7" s="376" t="s">
        <v>207</v>
      </c>
      <c r="N7" s="376" t="s">
        <v>208</v>
      </c>
      <c r="O7" s="379">
        <v>0</v>
      </c>
      <c r="P7" s="385">
        <v>0.01</v>
      </c>
      <c r="Q7" s="385">
        <v>0</v>
      </c>
      <c r="R7" s="380">
        <v>0</v>
      </c>
      <c r="S7" s="385">
        <v>0</v>
      </c>
      <c r="T7" s="380">
        <v>0</v>
      </c>
      <c r="U7" s="380">
        <v>0</v>
      </c>
      <c r="V7" s="380">
        <v>0</v>
      </c>
      <c r="W7" s="380">
        <v>0</v>
      </c>
      <c r="X7" s="380">
        <v>0</v>
      </c>
      <c r="Y7" s="380">
        <v>0</v>
      </c>
      <c r="Z7" s="380">
        <v>0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181</v>
      </c>
      <c r="AM7" s="378"/>
      <c r="AN7" s="378"/>
      <c r="AO7" s="379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IF(AT7=0,"",IF(AND(AT7=1,M7="F",SUMIF(C2:C206,C7,AS2:AS206)&lt;=1),SUMIF(C2:C206,C7,AS2:AS206),IF(AND(AT7=1,M7="F",SUMIF(C2:C206,C7,AS2:AS206)&gt;1),1,"")))</f>
        <v/>
      </c>
      <c r="AV7" s="387" t="str">
        <f>IF(AT7=0,"",IF(AND(AT7=3,M7="F",SUMIF(C2:C206,C7,AS2:AS206)&lt;=1),SUMIF(C2:C206,C7,AS2:AS206),IF(AND(AT7=3,M7="F",SUMIF(C2:C206,C7,AS2:AS206)&gt;1),1,"")))</f>
        <v/>
      </c>
      <c r="AW7" s="387">
        <f>SUMIF(C2:C206,C7,O2:O206)</f>
        <v>0</v>
      </c>
      <c r="AX7" s="387">
        <f>IF(AND(M7="F",AS7&lt;&gt;0),SUMIF(C2:C206,C7,W2:W206),0)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0</v>
      </c>
      <c r="CM7" s="387">
        <f t="shared" si="42"/>
        <v>0</v>
      </c>
      <c r="CN7" s="387" t="str">
        <f t="shared" si="43"/>
        <v>0365-00</v>
      </c>
    </row>
    <row r="8" spans="1:92" ht="15.75" thickBot="1" x14ac:dyDescent="0.3">
      <c r="A8" s="376" t="s">
        <v>161</v>
      </c>
      <c r="B8" s="376" t="s">
        <v>162</v>
      </c>
      <c r="C8" s="376" t="s">
        <v>209</v>
      </c>
      <c r="D8" s="376" t="s">
        <v>210</v>
      </c>
      <c r="E8" s="376" t="s">
        <v>216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211</v>
      </c>
      <c r="L8" s="376" t="s">
        <v>166</v>
      </c>
      <c r="M8" s="376" t="s">
        <v>171</v>
      </c>
      <c r="N8" s="376" t="s">
        <v>198</v>
      </c>
      <c r="O8" s="379">
        <v>1</v>
      </c>
      <c r="P8" s="385">
        <v>0.05</v>
      </c>
      <c r="Q8" s="385">
        <v>0.05</v>
      </c>
      <c r="R8" s="380">
        <v>80</v>
      </c>
      <c r="S8" s="385">
        <v>0.05</v>
      </c>
      <c r="T8" s="380">
        <v>5534.32</v>
      </c>
      <c r="U8" s="380">
        <v>0</v>
      </c>
      <c r="V8" s="380">
        <v>1702.52</v>
      </c>
      <c r="W8" s="380">
        <v>5705.44</v>
      </c>
      <c r="X8" s="380">
        <v>1848.59</v>
      </c>
      <c r="Y8" s="380">
        <v>5705.44</v>
      </c>
      <c r="Z8" s="380">
        <v>1820.63</v>
      </c>
      <c r="AA8" s="376" t="s">
        <v>212</v>
      </c>
      <c r="AB8" s="376" t="s">
        <v>213</v>
      </c>
      <c r="AC8" s="376" t="s">
        <v>214</v>
      </c>
      <c r="AD8" s="376" t="s">
        <v>215</v>
      </c>
      <c r="AE8" s="376" t="s">
        <v>211</v>
      </c>
      <c r="AF8" s="376" t="s">
        <v>203</v>
      </c>
      <c r="AG8" s="376" t="s">
        <v>178</v>
      </c>
      <c r="AH8" s="381">
        <v>54.86</v>
      </c>
      <c r="AI8" s="381">
        <v>4367.1000000000004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5">
        <v>1</v>
      </c>
      <c r="AQ8" s="385">
        <v>0.05</v>
      </c>
      <c r="AR8" s="383" t="s">
        <v>183</v>
      </c>
      <c r="AS8" s="387">
        <f t="shared" si="27"/>
        <v>0.05</v>
      </c>
      <c r="AT8">
        <f t="shared" si="28"/>
        <v>1</v>
      </c>
      <c r="AU8" s="387">
        <f>IF(AT8=0,"",IF(AND(AT8=1,M8="F",SUMIF(C2:C206,C8,AS2:AS206)&lt;=1),SUMIF(C2:C206,C8,AS2:AS206),IF(AND(AT8=1,M8="F",SUMIF(C2:C206,C8,AS2:AS206)&gt;1),1,"")))</f>
        <v>1</v>
      </c>
      <c r="AV8" s="387" t="str">
        <f>IF(AT8=0,"",IF(AND(AT8=3,M8="F",SUMIF(C2:C206,C8,AS2:AS206)&lt;=1),SUMIF(C2:C206,C8,AS2:AS206),IF(AND(AT8=3,M8="F",SUMIF(C2:C206,C8,AS2:AS206)&gt;1),1,"")))</f>
        <v/>
      </c>
      <c r="AW8" s="387">
        <f>SUMIF(C2:C206,C8,O2:O206)</f>
        <v>4</v>
      </c>
      <c r="AX8" s="387">
        <f>IF(AND(M8="F",AS8&lt;&gt;0),SUMIF(C2:C206,C8,W2:W206),0)</f>
        <v>114108.8</v>
      </c>
      <c r="AY8" s="387">
        <f t="shared" si="29"/>
        <v>5705.44</v>
      </c>
      <c r="AZ8" s="387" t="str">
        <f t="shared" si="30"/>
        <v/>
      </c>
      <c r="BA8" s="387">
        <f t="shared" si="31"/>
        <v>0</v>
      </c>
      <c r="BB8" s="387">
        <f t="shared" si="0"/>
        <v>582.5</v>
      </c>
      <c r="BC8" s="387">
        <f t="shared" si="1"/>
        <v>0</v>
      </c>
      <c r="BD8" s="387">
        <f t="shared" si="2"/>
        <v>353.73728</v>
      </c>
      <c r="BE8" s="387">
        <f t="shared" si="3"/>
        <v>82.728880000000004</v>
      </c>
      <c r="BF8" s="387">
        <f t="shared" si="4"/>
        <v>681.22953599999994</v>
      </c>
      <c r="BG8" s="387">
        <f t="shared" si="5"/>
        <v>41.136222400000001</v>
      </c>
      <c r="BH8" s="387">
        <f t="shared" si="6"/>
        <v>27.956655999999999</v>
      </c>
      <c r="BI8" s="387">
        <f t="shared" si="7"/>
        <v>0</v>
      </c>
      <c r="BJ8" s="387">
        <f t="shared" si="8"/>
        <v>79.305615999999986</v>
      </c>
      <c r="BK8" s="387">
        <f t="shared" si="9"/>
        <v>0</v>
      </c>
      <c r="BL8" s="387">
        <f t="shared" si="32"/>
        <v>1266.0941904000001</v>
      </c>
      <c r="BM8" s="387">
        <f t="shared" si="33"/>
        <v>0</v>
      </c>
      <c r="BN8" s="387">
        <f t="shared" si="10"/>
        <v>582.5</v>
      </c>
      <c r="BO8" s="387">
        <f t="shared" si="11"/>
        <v>0</v>
      </c>
      <c r="BP8" s="387">
        <f t="shared" si="12"/>
        <v>353.73728</v>
      </c>
      <c r="BQ8" s="387">
        <f t="shared" si="13"/>
        <v>82.728880000000004</v>
      </c>
      <c r="BR8" s="387">
        <f t="shared" si="14"/>
        <v>681.22953599999994</v>
      </c>
      <c r="BS8" s="387">
        <f t="shared" si="15"/>
        <v>41.136222400000001</v>
      </c>
      <c r="BT8" s="387">
        <f t="shared" si="16"/>
        <v>0</v>
      </c>
      <c r="BU8" s="387">
        <f t="shared" si="17"/>
        <v>0</v>
      </c>
      <c r="BV8" s="387">
        <f t="shared" si="18"/>
        <v>79.305615999999986</v>
      </c>
      <c r="BW8" s="387">
        <f t="shared" si="19"/>
        <v>0</v>
      </c>
      <c r="BX8" s="387">
        <f t="shared" si="34"/>
        <v>1238.1375343999998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-27.956655999999999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-27.956655999999999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0365-00</v>
      </c>
    </row>
    <row r="9" spans="1:92" ht="15.75" thickBot="1" x14ac:dyDescent="0.3">
      <c r="A9" s="376" t="s">
        <v>161</v>
      </c>
      <c r="B9" s="376" t="s">
        <v>162</v>
      </c>
      <c r="C9" s="376" t="s">
        <v>163</v>
      </c>
      <c r="D9" s="376" t="s">
        <v>164</v>
      </c>
      <c r="E9" s="376" t="s">
        <v>216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169</v>
      </c>
      <c r="L9" s="376" t="s">
        <v>170</v>
      </c>
      <c r="M9" s="376" t="s">
        <v>171</v>
      </c>
      <c r="N9" s="376" t="s">
        <v>172</v>
      </c>
      <c r="O9" s="379">
        <v>1</v>
      </c>
      <c r="P9" s="385">
        <v>0.25</v>
      </c>
      <c r="Q9" s="385">
        <v>0.25</v>
      </c>
      <c r="R9" s="380">
        <v>80</v>
      </c>
      <c r="S9" s="385">
        <v>0.25</v>
      </c>
      <c r="T9" s="380">
        <v>15922</v>
      </c>
      <c r="U9" s="380">
        <v>0</v>
      </c>
      <c r="V9" s="380">
        <v>5863.59</v>
      </c>
      <c r="W9" s="380">
        <v>16224</v>
      </c>
      <c r="X9" s="380">
        <v>6562.41</v>
      </c>
      <c r="Y9" s="380">
        <v>16224</v>
      </c>
      <c r="Z9" s="380">
        <v>6482.91</v>
      </c>
      <c r="AA9" s="376" t="s">
        <v>173</v>
      </c>
      <c r="AB9" s="376" t="s">
        <v>174</v>
      </c>
      <c r="AC9" s="376" t="s">
        <v>175</v>
      </c>
      <c r="AD9" s="376" t="s">
        <v>176</v>
      </c>
      <c r="AE9" s="376" t="s">
        <v>169</v>
      </c>
      <c r="AF9" s="376" t="s">
        <v>177</v>
      </c>
      <c r="AG9" s="376" t="s">
        <v>178</v>
      </c>
      <c r="AH9" s="381">
        <v>31.2</v>
      </c>
      <c r="AI9" s="381">
        <v>16254.3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5">
        <v>1</v>
      </c>
      <c r="AQ9" s="385">
        <v>0.25</v>
      </c>
      <c r="AR9" s="383" t="s">
        <v>183</v>
      </c>
      <c r="AS9" s="387">
        <f t="shared" si="27"/>
        <v>0.25</v>
      </c>
      <c r="AT9">
        <f t="shared" si="28"/>
        <v>1</v>
      </c>
      <c r="AU9" s="387">
        <f>IF(AT9=0,"",IF(AND(AT9=1,M9="F",SUMIF(C2:C206,C9,AS2:AS206)&lt;=1),SUMIF(C2:C206,C9,AS2:AS206),IF(AND(AT9=1,M9="F",SUMIF(C2:C206,C9,AS2:AS206)&gt;1),1,"")))</f>
        <v>1</v>
      </c>
      <c r="AV9" s="387" t="str">
        <f>IF(AT9=0,"",IF(AND(AT9=3,M9="F",SUMIF(C2:C206,C9,AS2:AS206)&lt;=1),SUMIF(C2:C206,C9,AS2:AS206),IF(AND(AT9=3,M9="F",SUMIF(C2:C206,C9,AS2:AS206)&gt;1),1,"")))</f>
        <v/>
      </c>
      <c r="AW9" s="387">
        <f>SUMIF(C2:C206,C9,O2:O206)</f>
        <v>4</v>
      </c>
      <c r="AX9" s="387">
        <f>IF(AND(M9="F",AS9&lt;&gt;0),SUMIF(C2:C206,C9,W2:W206),0)</f>
        <v>64896.000000000007</v>
      </c>
      <c r="AY9" s="387">
        <f t="shared" si="29"/>
        <v>16224</v>
      </c>
      <c r="AZ9" s="387" t="str">
        <f t="shared" si="30"/>
        <v/>
      </c>
      <c r="BA9" s="387">
        <f t="shared" si="31"/>
        <v>0</v>
      </c>
      <c r="BB9" s="387">
        <f t="shared" si="0"/>
        <v>2912.5</v>
      </c>
      <c r="BC9" s="387">
        <f t="shared" si="1"/>
        <v>0</v>
      </c>
      <c r="BD9" s="387">
        <f t="shared" si="2"/>
        <v>1005.888</v>
      </c>
      <c r="BE9" s="387">
        <f t="shared" si="3"/>
        <v>235.24800000000002</v>
      </c>
      <c r="BF9" s="387">
        <f t="shared" si="4"/>
        <v>1937.1456000000001</v>
      </c>
      <c r="BG9" s="387">
        <f t="shared" si="5"/>
        <v>116.97504000000001</v>
      </c>
      <c r="BH9" s="387">
        <f t="shared" si="6"/>
        <v>79.497599999999991</v>
      </c>
      <c r="BI9" s="387">
        <f t="shared" si="7"/>
        <v>49.645439999999994</v>
      </c>
      <c r="BJ9" s="387">
        <f t="shared" si="8"/>
        <v>225.5136</v>
      </c>
      <c r="BK9" s="387">
        <f t="shared" si="9"/>
        <v>0</v>
      </c>
      <c r="BL9" s="387">
        <f t="shared" si="32"/>
        <v>3649.9132799999998</v>
      </c>
      <c r="BM9" s="387">
        <f t="shared" si="33"/>
        <v>0</v>
      </c>
      <c r="BN9" s="387">
        <f t="shared" si="10"/>
        <v>2912.5</v>
      </c>
      <c r="BO9" s="387">
        <f t="shared" si="11"/>
        <v>0</v>
      </c>
      <c r="BP9" s="387">
        <f t="shared" si="12"/>
        <v>1005.888</v>
      </c>
      <c r="BQ9" s="387">
        <f t="shared" si="13"/>
        <v>235.24800000000002</v>
      </c>
      <c r="BR9" s="387">
        <f t="shared" si="14"/>
        <v>1937.1456000000001</v>
      </c>
      <c r="BS9" s="387">
        <f t="shared" si="15"/>
        <v>116.97504000000001</v>
      </c>
      <c r="BT9" s="387">
        <f t="shared" si="16"/>
        <v>0</v>
      </c>
      <c r="BU9" s="387">
        <f t="shared" si="17"/>
        <v>49.645439999999994</v>
      </c>
      <c r="BV9" s="387">
        <f t="shared" si="18"/>
        <v>225.5136</v>
      </c>
      <c r="BW9" s="387">
        <f t="shared" si="19"/>
        <v>0</v>
      </c>
      <c r="BX9" s="387">
        <f t="shared" si="34"/>
        <v>3570.4156800000001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-79.497599999999991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-79.497599999999991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0365-00</v>
      </c>
    </row>
    <row r="10" spans="1:92" ht="15.75" thickBot="1" x14ac:dyDescent="0.3">
      <c r="A10" s="376" t="s">
        <v>161</v>
      </c>
      <c r="B10" s="376" t="s">
        <v>162</v>
      </c>
      <c r="C10" s="376" t="s">
        <v>217</v>
      </c>
      <c r="D10" s="376" t="s">
        <v>218</v>
      </c>
      <c r="E10" s="376" t="s">
        <v>216</v>
      </c>
      <c r="F10" s="377" t="s">
        <v>166</v>
      </c>
      <c r="G10" s="376" t="s">
        <v>167</v>
      </c>
      <c r="H10" s="378"/>
      <c r="I10" s="378"/>
      <c r="J10" s="376" t="s">
        <v>219</v>
      </c>
      <c r="K10" s="376" t="s">
        <v>220</v>
      </c>
      <c r="L10" s="376" t="s">
        <v>188</v>
      </c>
      <c r="M10" s="376" t="s">
        <v>207</v>
      </c>
      <c r="N10" s="376" t="s">
        <v>172</v>
      </c>
      <c r="O10" s="379">
        <v>0</v>
      </c>
      <c r="P10" s="385">
        <v>0.31</v>
      </c>
      <c r="Q10" s="385">
        <v>0.31</v>
      </c>
      <c r="R10" s="380">
        <v>80</v>
      </c>
      <c r="S10" s="385">
        <v>0.31</v>
      </c>
      <c r="T10" s="380">
        <v>1471.14</v>
      </c>
      <c r="U10" s="380">
        <v>0</v>
      </c>
      <c r="V10" s="380">
        <v>595.96</v>
      </c>
      <c r="W10" s="380">
        <v>14694.99</v>
      </c>
      <c r="X10" s="380">
        <v>6436.4</v>
      </c>
      <c r="Y10" s="380">
        <v>14694.99</v>
      </c>
      <c r="Z10" s="380">
        <v>6362.92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181</v>
      </c>
      <c r="AM10" s="378"/>
      <c r="AN10" s="378"/>
      <c r="AO10" s="379">
        <v>0</v>
      </c>
      <c r="AP10" s="385">
        <v>0</v>
      </c>
      <c r="AQ10" s="385">
        <v>0</v>
      </c>
      <c r="AR10" s="384"/>
      <c r="AS10" s="387">
        <f t="shared" si="27"/>
        <v>0</v>
      </c>
      <c r="AT10">
        <f t="shared" si="28"/>
        <v>0</v>
      </c>
      <c r="AU10" s="387" t="str">
        <f>IF(AT10=0,"",IF(AND(AT10=1,M10="F",SUMIF(C2:C206,C10,AS2:AS206)&lt;=1),SUMIF(C2:C206,C10,AS2:AS206),IF(AND(AT10=1,M10="F",SUMIF(C2:C206,C10,AS2:AS206)&gt;1),1,"")))</f>
        <v/>
      </c>
      <c r="AV10" s="387" t="str">
        <f>IF(AT10=0,"",IF(AND(AT10=3,M10="F",SUMIF(C2:C206,C10,AS2:AS206)&lt;=1),SUMIF(C2:C206,C10,AS2:AS206),IF(AND(AT10=3,M10="F",SUMIF(C2:C206,C10,AS2:AS206)&gt;1),1,"")))</f>
        <v/>
      </c>
      <c r="AW10" s="387">
        <f>SUMIF(C2:C206,C10,O2:O206)</f>
        <v>0</v>
      </c>
      <c r="AX10" s="387">
        <f>IF(AND(M10="F",AS10&lt;&gt;0),SUMIF(C2:C206,C10,W2:W206),0)</f>
        <v>0</v>
      </c>
      <c r="AY10" s="387" t="str">
        <f t="shared" si="29"/>
        <v/>
      </c>
      <c r="AZ10" s="387" t="str">
        <f t="shared" si="30"/>
        <v/>
      </c>
      <c r="BA10" s="387">
        <f t="shared" si="31"/>
        <v>0</v>
      </c>
      <c r="BB10" s="387">
        <f t="shared" si="0"/>
        <v>0</v>
      </c>
      <c r="BC10" s="387">
        <f t="shared" si="1"/>
        <v>0</v>
      </c>
      <c r="BD10" s="387">
        <f t="shared" si="2"/>
        <v>0</v>
      </c>
      <c r="BE10" s="387">
        <f t="shared" si="3"/>
        <v>0</v>
      </c>
      <c r="BF10" s="387">
        <f t="shared" si="4"/>
        <v>0</v>
      </c>
      <c r="BG10" s="387">
        <f t="shared" si="5"/>
        <v>0</v>
      </c>
      <c r="BH10" s="387">
        <f t="shared" si="6"/>
        <v>0</v>
      </c>
      <c r="BI10" s="387">
        <f t="shared" si="7"/>
        <v>0</v>
      </c>
      <c r="BJ10" s="387">
        <f t="shared" si="8"/>
        <v>0</v>
      </c>
      <c r="BK10" s="387">
        <f t="shared" si="9"/>
        <v>0</v>
      </c>
      <c r="BL10" s="387">
        <f t="shared" si="32"/>
        <v>0</v>
      </c>
      <c r="BM10" s="387">
        <f t="shared" si="33"/>
        <v>0</v>
      </c>
      <c r="BN10" s="387">
        <f t="shared" si="10"/>
        <v>0</v>
      </c>
      <c r="BO10" s="387">
        <f t="shared" si="11"/>
        <v>0</v>
      </c>
      <c r="BP10" s="387">
        <f t="shared" si="12"/>
        <v>0</v>
      </c>
      <c r="BQ10" s="387">
        <f t="shared" si="13"/>
        <v>0</v>
      </c>
      <c r="BR10" s="387">
        <f t="shared" si="14"/>
        <v>0</v>
      </c>
      <c r="BS10" s="387">
        <f t="shared" si="15"/>
        <v>0</v>
      </c>
      <c r="BT10" s="387">
        <f t="shared" si="16"/>
        <v>0</v>
      </c>
      <c r="BU10" s="387">
        <f t="shared" si="17"/>
        <v>0</v>
      </c>
      <c r="BV10" s="387">
        <f t="shared" si="18"/>
        <v>0</v>
      </c>
      <c r="BW10" s="387">
        <f t="shared" si="19"/>
        <v>0</v>
      </c>
      <c r="BX10" s="387">
        <f t="shared" si="34"/>
        <v>0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0</v>
      </c>
      <c r="CI10" s="387">
        <f t="shared" si="26"/>
        <v>0</v>
      </c>
      <c r="CJ10" s="387">
        <f t="shared" si="39"/>
        <v>0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0365-00</v>
      </c>
    </row>
    <row r="11" spans="1:92" ht="15.75" thickBot="1" x14ac:dyDescent="0.3">
      <c r="A11" s="376" t="s">
        <v>161</v>
      </c>
      <c r="B11" s="376" t="s">
        <v>162</v>
      </c>
      <c r="C11" s="376" t="s">
        <v>221</v>
      </c>
      <c r="D11" s="376" t="s">
        <v>222</v>
      </c>
      <c r="E11" s="376" t="s">
        <v>216</v>
      </c>
      <c r="F11" s="377" t="s">
        <v>166</v>
      </c>
      <c r="G11" s="376" t="s">
        <v>167</v>
      </c>
      <c r="H11" s="378"/>
      <c r="I11" s="378"/>
      <c r="J11" s="376" t="s">
        <v>219</v>
      </c>
      <c r="K11" s="376" t="s">
        <v>223</v>
      </c>
      <c r="L11" s="376" t="s">
        <v>224</v>
      </c>
      <c r="M11" s="376" t="s">
        <v>171</v>
      </c>
      <c r="N11" s="376" t="s">
        <v>172</v>
      </c>
      <c r="O11" s="379">
        <v>1</v>
      </c>
      <c r="P11" s="385">
        <v>0.19</v>
      </c>
      <c r="Q11" s="385">
        <v>0.19</v>
      </c>
      <c r="R11" s="380">
        <v>80</v>
      </c>
      <c r="S11" s="385">
        <v>0.19</v>
      </c>
      <c r="T11" s="380">
        <v>16364.42</v>
      </c>
      <c r="U11" s="380">
        <v>0</v>
      </c>
      <c r="V11" s="380">
        <v>5542.7</v>
      </c>
      <c r="W11" s="380">
        <v>16543.07</v>
      </c>
      <c r="X11" s="380">
        <v>5935.18</v>
      </c>
      <c r="Y11" s="380">
        <v>16543.07</v>
      </c>
      <c r="Z11" s="380">
        <v>5854.12</v>
      </c>
      <c r="AA11" s="376" t="s">
        <v>225</v>
      </c>
      <c r="AB11" s="376" t="s">
        <v>226</v>
      </c>
      <c r="AC11" s="376" t="s">
        <v>227</v>
      </c>
      <c r="AD11" s="376" t="s">
        <v>228</v>
      </c>
      <c r="AE11" s="376" t="s">
        <v>223</v>
      </c>
      <c r="AF11" s="376" t="s">
        <v>229</v>
      </c>
      <c r="AG11" s="376" t="s">
        <v>178</v>
      </c>
      <c r="AH11" s="381">
        <v>41.86</v>
      </c>
      <c r="AI11" s="381">
        <v>25678.7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385">
        <v>1</v>
      </c>
      <c r="AQ11" s="385">
        <v>0.19</v>
      </c>
      <c r="AR11" s="383" t="s">
        <v>183</v>
      </c>
      <c r="AS11" s="387">
        <f t="shared" si="27"/>
        <v>0.19</v>
      </c>
      <c r="AT11">
        <f t="shared" si="28"/>
        <v>1</v>
      </c>
      <c r="AU11" s="387">
        <f>IF(AT11=0,"",IF(AND(AT11=1,M11="F",SUMIF(C2:C206,C11,AS2:AS206)&lt;=1),SUMIF(C2:C206,C11,AS2:AS206),IF(AND(AT11=1,M11="F",SUMIF(C2:C206,C11,AS2:AS206)&gt;1),1,"")))</f>
        <v>1</v>
      </c>
      <c r="AV11" s="387" t="str">
        <f>IF(AT11=0,"",IF(AND(AT11=3,M11="F",SUMIF(C2:C206,C11,AS2:AS206)&lt;=1),SUMIF(C2:C206,C11,AS2:AS206),IF(AND(AT11=3,M11="F",SUMIF(C2:C206,C11,AS2:AS206)&gt;1),1,"")))</f>
        <v/>
      </c>
      <c r="AW11" s="387">
        <f>SUMIF(C2:C206,C11,O2:O206)</f>
        <v>5</v>
      </c>
      <c r="AX11" s="387">
        <f>IF(AND(M11="F",AS11&lt;&gt;0),SUMIF(C2:C206,C11,W2:W206),0)</f>
        <v>87068.78</v>
      </c>
      <c r="AY11" s="387">
        <f t="shared" si="29"/>
        <v>16543.07</v>
      </c>
      <c r="AZ11" s="387" t="str">
        <f t="shared" si="30"/>
        <v/>
      </c>
      <c r="BA11" s="387">
        <f t="shared" si="31"/>
        <v>0</v>
      </c>
      <c r="BB11" s="387">
        <f t="shared" si="0"/>
        <v>2213.5</v>
      </c>
      <c r="BC11" s="387">
        <f t="shared" si="1"/>
        <v>0</v>
      </c>
      <c r="BD11" s="387">
        <f t="shared" si="2"/>
        <v>1025.6703399999999</v>
      </c>
      <c r="BE11" s="387">
        <f t="shared" si="3"/>
        <v>239.874515</v>
      </c>
      <c r="BF11" s="387">
        <f t="shared" si="4"/>
        <v>1975.2425580000001</v>
      </c>
      <c r="BG11" s="387">
        <f t="shared" si="5"/>
        <v>119.27553470000001</v>
      </c>
      <c r="BH11" s="387">
        <f t="shared" si="6"/>
        <v>81.061042999999998</v>
      </c>
      <c r="BI11" s="387">
        <f t="shared" si="7"/>
        <v>50.621794199999997</v>
      </c>
      <c r="BJ11" s="387">
        <f t="shared" si="8"/>
        <v>229.94867299999999</v>
      </c>
      <c r="BK11" s="387">
        <f t="shared" si="9"/>
        <v>0</v>
      </c>
      <c r="BL11" s="387">
        <f t="shared" si="32"/>
        <v>3721.6944579000001</v>
      </c>
      <c r="BM11" s="387">
        <f t="shared" si="33"/>
        <v>0</v>
      </c>
      <c r="BN11" s="387">
        <f t="shared" si="10"/>
        <v>2213.5</v>
      </c>
      <c r="BO11" s="387">
        <f t="shared" si="11"/>
        <v>0</v>
      </c>
      <c r="BP11" s="387">
        <f t="shared" si="12"/>
        <v>1025.6703399999999</v>
      </c>
      <c r="BQ11" s="387">
        <f t="shared" si="13"/>
        <v>239.874515</v>
      </c>
      <c r="BR11" s="387">
        <f t="shared" si="14"/>
        <v>1975.2425580000001</v>
      </c>
      <c r="BS11" s="387">
        <f t="shared" si="15"/>
        <v>119.27553470000001</v>
      </c>
      <c r="BT11" s="387">
        <f t="shared" si="16"/>
        <v>0</v>
      </c>
      <c r="BU11" s="387">
        <f t="shared" si="17"/>
        <v>50.621794199999997</v>
      </c>
      <c r="BV11" s="387">
        <f t="shared" si="18"/>
        <v>229.94867299999999</v>
      </c>
      <c r="BW11" s="387">
        <f t="shared" si="19"/>
        <v>0</v>
      </c>
      <c r="BX11" s="387">
        <f t="shared" si="34"/>
        <v>3640.6334148999999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-81.061042999999998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-81.061042999999998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0365-00</v>
      </c>
    </row>
    <row r="12" spans="1:92" ht="15.75" thickBot="1" x14ac:dyDescent="0.3">
      <c r="A12" s="376" t="s">
        <v>161</v>
      </c>
      <c r="B12" s="376" t="s">
        <v>162</v>
      </c>
      <c r="C12" s="376" t="s">
        <v>230</v>
      </c>
      <c r="D12" s="376" t="s">
        <v>164</v>
      </c>
      <c r="E12" s="376" t="s">
        <v>216</v>
      </c>
      <c r="F12" s="377" t="s">
        <v>166</v>
      </c>
      <c r="G12" s="376" t="s">
        <v>167</v>
      </c>
      <c r="H12" s="378"/>
      <c r="I12" s="378"/>
      <c r="J12" s="376" t="s">
        <v>231</v>
      </c>
      <c r="K12" s="376" t="s">
        <v>232</v>
      </c>
      <c r="L12" s="376" t="s">
        <v>188</v>
      </c>
      <c r="M12" s="376" t="s">
        <v>171</v>
      </c>
      <c r="N12" s="376" t="s">
        <v>172</v>
      </c>
      <c r="O12" s="379">
        <v>1</v>
      </c>
      <c r="P12" s="385">
        <v>0.1</v>
      </c>
      <c r="Q12" s="385">
        <v>0.1</v>
      </c>
      <c r="R12" s="380">
        <v>80</v>
      </c>
      <c r="S12" s="385">
        <v>0.1</v>
      </c>
      <c r="T12" s="380">
        <v>5022.42</v>
      </c>
      <c r="U12" s="380">
        <v>0</v>
      </c>
      <c r="V12" s="380">
        <v>2199.15</v>
      </c>
      <c r="W12" s="380">
        <v>5004.4799999999996</v>
      </c>
      <c r="X12" s="380">
        <v>2290.85</v>
      </c>
      <c r="Y12" s="380">
        <v>5004.4799999999996</v>
      </c>
      <c r="Z12" s="380">
        <v>2266.33</v>
      </c>
      <c r="AA12" s="376" t="s">
        <v>233</v>
      </c>
      <c r="AB12" s="376" t="s">
        <v>234</v>
      </c>
      <c r="AC12" s="376" t="s">
        <v>235</v>
      </c>
      <c r="AD12" s="376" t="s">
        <v>236</v>
      </c>
      <c r="AE12" s="376" t="s">
        <v>232</v>
      </c>
      <c r="AF12" s="376" t="s">
        <v>193</v>
      </c>
      <c r="AG12" s="376" t="s">
        <v>178</v>
      </c>
      <c r="AH12" s="381">
        <v>24.06</v>
      </c>
      <c r="AI12" s="379">
        <v>17727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385">
        <v>1</v>
      </c>
      <c r="AQ12" s="385">
        <v>0.1</v>
      </c>
      <c r="AR12" s="383" t="s">
        <v>183</v>
      </c>
      <c r="AS12" s="387">
        <f t="shared" si="27"/>
        <v>0.1</v>
      </c>
      <c r="AT12">
        <f t="shared" si="28"/>
        <v>1</v>
      </c>
      <c r="AU12" s="387">
        <f>IF(AT12=0,"",IF(AND(AT12=1,M12="F",SUMIF(C2:C206,C12,AS2:AS206)&lt;=1),SUMIF(C2:C206,C12,AS2:AS206),IF(AND(AT12=1,M12="F",SUMIF(C2:C206,C12,AS2:AS206)&gt;1),1,"")))</f>
        <v>1</v>
      </c>
      <c r="AV12" s="387" t="str">
        <f>IF(AT12=0,"",IF(AND(AT12=3,M12="F",SUMIF(C2:C206,C12,AS2:AS206)&lt;=1),SUMIF(C2:C206,C12,AS2:AS206),IF(AND(AT12=3,M12="F",SUMIF(C2:C206,C12,AS2:AS206)&gt;1),1,"")))</f>
        <v/>
      </c>
      <c r="AW12" s="387">
        <f>SUMIF(C2:C206,C12,O2:O206)</f>
        <v>6</v>
      </c>
      <c r="AX12" s="387">
        <f>IF(AND(M12="F",AS12&lt;&gt;0),SUMIF(C2:C206,C12,W2:W206),0)</f>
        <v>50044.78</v>
      </c>
      <c r="AY12" s="387">
        <f t="shared" si="29"/>
        <v>5004.4799999999996</v>
      </c>
      <c r="AZ12" s="387" t="str">
        <f t="shared" si="30"/>
        <v/>
      </c>
      <c r="BA12" s="387">
        <f t="shared" si="31"/>
        <v>0</v>
      </c>
      <c r="BB12" s="387">
        <f t="shared" si="0"/>
        <v>1165</v>
      </c>
      <c r="BC12" s="387">
        <f t="shared" si="1"/>
        <v>0</v>
      </c>
      <c r="BD12" s="387">
        <f t="shared" si="2"/>
        <v>310.27775999999994</v>
      </c>
      <c r="BE12" s="387">
        <f t="shared" si="3"/>
        <v>72.564959999999999</v>
      </c>
      <c r="BF12" s="387">
        <f t="shared" si="4"/>
        <v>597.53491199999996</v>
      </c>
      <c r="BG12" s="387">
        <f t="shared" si="5"/>
        <v>36.082300799999999</v>
      </c>
      <c r="BH12" s="387">
        <f t="shared" si="6"/>
        <v>24.521951999999995</v>
      </c>
      <c r="BI12" s="387">
        <f t="shared" si="7"/>
        <v>15.313708799999997</v>
      </c>
      <c r="BJ12" s="387">
        <f t="shared" si="8"/>
        <v>69.562271999999993</v>
      </c>
      <c r="BK12" s="387">
        <f t="shared" si="9"/>
        <v>0</v>
      </c>
      <c r="BL12" s="387">
        <f t="shared" si="32"/>
        <v>1125.8578656</v>
      </c>
      <c r="BM12" s="387">
        <f t="shared" si="33"/>
        <v>0</v>
      </c>
      <c r="BN12" s="387">
        <f t="shared" si="10"/>
        <v>1165</v>
      </c>
      <c r="BO12" s="387">
        <f t="shared" si="11"/>
        <v>0</v>
      </c>
      <c r="BP12" s="387">
        <f t="shared" si="12"/>
        <v>310.27775999999994</v>
      </c>
      <c r="BQ12" s="387">
        <f t="shared" si="13"/>
        <v>72.564959999999999</v>
      </c>
      <c r="BR12" s="387">
        <f t="shared" si="14"/>
        <v>597.53491199999996</v>
      </c>
      <c r="BS12" s="387">
        <f t="shared" si="15"/>
        <v>36.082300799999999</v>
      </c>
      <c r="BT12" s="387">
        <f t="shared" si="16"/>
        <v>0</v>
      </c>
      <c r="BU12" s="387">
        <f t="shared" si="17"/>
        <v>15.313708799999997</v>
      </c>
      <c r="BV12" s="387">
        <f t="shared" si="18"/>
        <v>69.562271999999993</v>
      </c>
      <c r="BW12" s="387">
        <f t="shared" si="19"/>
        <v>0</v>
      </c>
      <c r="BX12" s="387">
        <f t="shared" si="34"/>
        <v>1101.3359135999999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-24.521951999999995</v>
      </c>
      <c r="CG12" s="387">
        <f t="shared" si="24"/>
        <v>0</v>
      </c>
      <c r="CH12" s="387">
        <f t="shared" si="25"/>
        <v>0</v>
      </c>
      <c r="CI12" s="387">
        <f t="shared" si="26"/>
        <v>0</v>
      </c>
      <c r="CJ12" s="387">
        <f t="shared" si="39"/>
        <v>-24.521951999999995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0365-00</v>
      </c>
    </row>
    <row r="13" spans="1:92" ht="15.75" thickBot="1" x14ac:dyDescent="0.3">
      <c r="A13" s="376" t="s">
        <v>161</v>
      </c>
      <c r="B13" s="376" t="s">
        <v>162</v>
      </c>
      <c r="C13" s="376" t="s">
        <v>237</v>
      </c>
      <c r="D13" s="376" t="s">
        <v>164</v>
      </c>
      <c r="E13" s="376" t="s">
        <v>216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232</v>
      </c>
      <c r="L13" s="376" t="s">
        <v>188</v>
      </c>
      <c r="M13" s="376" t="s">
        <v>171</v>
      </c>
      <c r="N13" s="376" t="s">
        <v>172</v>
      </c>
      <c r="O13" s="379">
        <v>1</v>
      </c>
      <c r="P13" s="385">
        <v>0.15</v>
      </c>
      <c r="Q13" s="385">
        <v>0.15</v>
      </c>
      <c r="R13" s="380">
        <v>80</v>
      </c>
      <c r="S13" s="385">
        <v>0.15</v>
      </c>
      <c r="T13" s="380">
        <v>7192.14</v>
      </c>
      <c r="U13" s="380">
        <v>0</v>
      </c>
      <c r="V13" s="380">
        <v>3050.67</v>
      </c>
      <c r="W13" s="380">
        <v>8052.72</v>
      </c>
      <c r="X13" s="380">
        <v>3559.11</v>
      </c>
      <c r="Y13" s="380">
        <v>8052.72</v>
      </c>
      <c r="Z13" s="380">
        <v>3519.65</v>
      </c>
      <c r="AA13" s="376" t="s">
        <v>238</v>
      </c>
      <c r="AB13" s="376" t="s">
        <v>239</v>
      </c>
      <c r="AC13" s="376" t="s">
        <v>240</v>
      </c>
      <c r="AD13" s="376" t="s">
        <v>170</v>
      </c>
      <c r="AE13" s="376" t="s">
        <v>232</v>
      </c>
      <c r="AF13" s="376" t="s">
        <v>193</v>
      </c>
      <c r="AG13" s="376" t="s">
        <v>178</v>
      </c>
      <c r="AH13" s="381">
        <v>25.81</v>
      </c>
      <c r="AI13" s="379">
        <v>62513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385">
        <v>1</v>
      </c>
      <c r="AQ13" s="385">
        <v>0.15</v>
      </c>
      <c r="AR13" s="383" t="s">
        <v>183</v>
      </c>
      <c r="AS13" s="387">
        <f t="shared" si="27"/>
        <v>0.15</v>
      </c>
      <c r="AT13">
        <f t="shared" si="28"/>
        <v>1</v>
      </c>
      <c r="AU13" s="387">
        <f>IF(AT13=0,"",IF(AND(AT13=1,M13="F",SUMIF(C2:C206,C13,AS2:AS206)&lt;=1),SUMIF(C2:C206,C13,AS2:AS206),IF(AND(AT13=1,M13="F",SUMIF(C2:C206,C13,AS2:AS206)&gt;1),1,"")))</f>
        <v>1</v>
      </c>
      <c r="AV13" s="387" t="str">
        <f>IF(AT13=0,"",IF(AND(AT13=3,M13="F",SUMIF(C2:C206,C13,AS2:AS206)&lt;=1),SUMIF(C2:C206,C13,AS2:AS206),IF(AND(AT13=3,M13="F",SUMIF(C2:C206,C13,AS2:AS206)&gt;1),1,"")))</f>
        <v/>
      </c>
      <c r="AW13" s="387">
        <f>SUMIF(C2:C206,C13,O2:O206)</f>
        <v>4</v>
      </c>
      <c r="AX13" s="387">
        <f>IF(AND(M13="F",AS13&lt;&gt;0),SUMIF(C2:C206,C13,W2:W206),0)</f>
        <v>53684.799999999996</v>
      </c>
      <c r="AY13" s="387">
        <f t="shared" si="29"/>
        <v>8052.72</v>
      </c>
      <c r="AZ13" s="387" t="str">
        <f t="shared" si="30"/>
        <v/>
      </c>
      <c r="BA13" s="387">
        <f t="shared" si="31"/>
        <v>0</v>
      </c>
      <c r="BB13" s="387">
        <f t="shared" si="0"/>
        <v>1747.5</v>
      </c>
      <c r="BC13" s="387">
        <f t="shared" si="1"/>
        <v>0</v>
      </c>
      <c r="BD13" s="387">
        <f t="shared" si="2"/>
        <v>499.26864</v>
      </c>
      <c r="BE13" s="387">
        <f t="shared" si="3"/>
        <v>116.76444000000001</v>
      </c>
      <c r="BF13" s="387">
        <f t="shared" si="4"/>
        <v>961.49476800000014</v>
      </c>
      <c r="BG13" s="387">
        <f t="shared" si="5"/>
        <v>58.060111200000001</v>
      </c>
      <c r="BH13" s="387">
        <f t="shared" si="6"/>
        <v>39.458328000000002</v>
      </c>
      <c r="BI13" s="387">
        <f t="shared" si="7"/>
        <v>24.641323199999999</v>
      </c>
      <c r="BJ13" s="387">
        <f t="shared" si="8"/>
        <v>111.93280799999999</v>
      </c>
      <c r="BK13" s="387">
        <f t="shared" si="9"/>
        <v>0</v>
      </c>
      <c r="BL13" s="387">
        <f t="shared" si="32"/>
        <v>1811.6204184000001</v>
      </c>
      <c r="BM13" s="387">
        <f t="shared" si="33"/>
        <v>0</v>
      </c>
      <c r="BN13" s="387">
        <f t="shared" si="10"/>
        <v>1747.5</v>
      </c>
      <c r="BO13" s="387">
        <f t="shared" si="11"/>
        <v>0</v>
      </c>
      <c r="BP13" s="387">
        <f t="shared" si="12"/>
        <v>499.26864</v>
      </c>
      <c r="BQ13" s="387">
        <f t="shared" si="13"/>
        <v>116.76444000000001</v>
      </c>
      <c r="BR13" s="387">
        <f t="shared" si="14"/>
        <v>961.49476800000014</v>
      </c>
      <c r="BS13" s="387">
        <f t="shared" si="15"/>
        <v>58.060111200000001</v>
      </c>
      <c r="BT13" s="387">
        <f t="shared" si="16"/>
        <v>0</v>
      </c>
      <c r="BU13" s="387">
        <f t="shared" si="17"/>
        <v>24.641323199999999</v>
      </c>
      <c r="BV13" s="387">
        <f t="shared" si="18"/>
        <v>111.93280799999999</v>
      </c>
      <c r="BW13" s="387">
        <f t="shared" si="19"/>
        <v>0</v>
      </c>
      <c r="BX13" s="387">
        <f t="shared" si="34"/>
        <v>1772.1620904000001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-39.458328000000002</v>
      </c>
      <c r="CG13" s="387">
        <f t="shared" si="24"/>
        <v>0</v>
      </c>
      <c r="CH13" s="387">
        <f t="shared" si="25"/>
        <v>0</v>
      </c>
      <c r="CI13" s="387">
        <f t="shared" si="26"/>
        <v>0</v>
      </c>
      <c r="CJ13" s="387">
        <f t="shared" si="39"/>
        <v>-39.458328000000002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0365-00</v>
      </c>
    </row>
    <row r="14" spans="1:92" ht="15.75" thickBot="1" x14ac:dyDescent="0.3">
      <c r="A14" s="376" t="s">
        <v>161</v>
      </c>
      <c r="B14" s="376" t="s">
        <v>162</v>
      </c>
      <c r="C14" s="376" t="s">
        <v>194</v>
      </c>
      <c r="D14" s="376" t="s">
        <v>195</v>
      </c>
      <c r="E14" s="376" t="s">
        <v>216</v>
      </c>
      <c r="F14" s="377" t="s">
        <v>166</v>
      </c>
      <c r="G14" s="376" t="s">
        <v>167</v>
      </c>
      <c r="H14" s="378"/>
      <c r="I14" s="378"/>
      <c r="J14" s="376" t="s">
        <v>196</v>
      </c>
      <c r="K14" s="376" t="s">
        <v>197</v>
      </c>
      <c r="L14" s="376" t="s">
        <v>166</v>
      </c>
      <c r="M14" s="376" t="s">
        <v>171</v>
      </c>
      <c r="N14" s="376" t="s">
        <v>198</v>
      </c>
      <c r="O14" s="379">
        <v>1</v>
      </c>
      <c r="P14" s="385">
        <v>0.06</v>
      </c>
      <c r="Q14" s="385">
        <v>0.06</v>
      </c>
      <c r="R14" s="380">
        <v>80</v>
      </c>
      <c r="S14" s="385">
        <v>0.06</v>
      </c>
      <c r="T14" s="380">
        <v>7416.85</v>
      </c>
      <c r="U14" s="380">
        <v>0</v>
      </c>
      <c r="V14" s="380">
        <v>2151.6799999999998</v>
      </c>
      <c r="W14" s="380">
        <v>7936.03</v>
      </c>
      <c r="X14" s="380">
        <v>2421.19</v>
      </c>
      <c r="Y14" s="380">
        <v>7936.03</v>
      </c>
      <c r="Z14" s="380">
        <v>2421.19</v>
      </c>
      <c r="AA14" s="376" t="s">
        <v>199</v>
      </c>
      <c r="AB14" s="376" t="s">
        <v>200</v>
      </c>
      <c r="AC14" s="376" t="s">
        <v>201</v>
      </c>
      <c r="AD14" s="376" t="s">
        <v>202</v>
      </c>
      <c r="AE14" s="376" t="s">
        <v>197</v>
      </c>
      <c r="AF14" s="376" t="s">
        <v>203</v>
      </c>
      <c r="AG14" s="376" t="s">
        <v>178</v>
      </c>
      <c r="AH14" s="381">
        <v>63.59</v>
      </c>
      <c r="AI14" s="379">
        <v>24698</v>
      </c>
      <c r="AJ14" s="376" t="s">
        <v>179</v>
      </c>
      <c r="AK14" s="376" t="s">
        <v>180</v>
      </c>
      <c r="AL14" s="376" t="s">
        <v>181</v>
      </c>
      <c r="AM14" s="376" t="s">
        <v>181</v>
      </c>
      <c r="AN14" s="376" t="s">
        <v>68</v>
      </c>
      <c r="AO14" s="379">
        <v>80</v>
      </c>
      <c r="AP14" s="385">
        <v>1</v>
      </c>
      <c r="AQ14" s="385">
        <v>0.06</v>
      </c>
      <c r="AR14" s="383" t="s">
        <v>183</v>
      </c>
      <c r="AS14" s="387">
        <f t="shared" si="27"/>
        <v>0.06</v>
      </c>
      <c r="AT14">
        <f t="shared" si="28"/>
        <v>1</v>
      </c>
      <c r="AU14" s="387">
        <f>IF(AT14=0,"",IF(AND(AT14=1,M14="F",SUMIF(C2:C206,C14,AS2:AS206)&lt;=1),SUMIF(C2:C206,C14,AS2:AS206),IF(AND(AT14=1,M14="F",SUMIF(C2:C206,C14,AS2:AS206)&gt;1),1,"")))</f>
        <v>1</v>
      </c>
      <c r="AV14" s="387" t="str">
        <f>IF(AT14=0,"",IF(AND(AT14=3,M14="F",SUMIF(C2:C206,C14,AS2:AS206)&lt;=1),SUMIF(C2:C206,C14,AS2:AS206),IF(AND(AT14=3,M14="F",SUMIF(C2:C206,C14,AS2:AS206)&gt;1),1,"")))</f>
        <v/>
      </c>
      <c r="AW14" s="387">
        <f>SUMIF(C2:C206,C14,O2:O206)</f>
        <v>7</v>
      </c>
      <c r="AX14" s="387">
        <f>IF(AND(M14="F",AS14&lt;&gt;0),SUMIF(C2:C206,C14,W2:W206),0)</f>
        <v>132267.19</v>
      </c>
      <c r="AY14" s="387">
        <f t="shared" si="29"/>
        <v>7936.03</v>
      </c>
      <c r="AZ14" s="387" t="str">
        <f t="shared" si="30"/>
        <v/>
      </c>
      <c r="BA14" s="387">
        <f t="shared" si="31"/>
        <v>0</v>
      </c>
      <c r="BB14" s="387">
        <f t="shared" si="0"/>
        <v>699</v>
      </c>
      <c r="BC14" s="387">
        <f t="shared" si="1"/>
        <v>0</v>
      </c>
      <c r="BD14" s="387">
        <f t="shared" si="2"/>
        <v>492.03386</v>
      </c>
      <c r="BE14" s="387">
        <f t="shared" si="3"/>
        <v>115.072435</v>
      </c>
      <c r="BF14" s="387">
        <f t="shared" si="4"/>
        <v>947.56198200000006</v>
      </c>
      <c r="BG14" s="387">
        <f t="shared" si="5"/>
        <v>57.218776300000002</v>
      </c>
      <c r="BH14" s="387">
        <f t="shared" si="6"/>
        <v>0</v>
      </c>
      <c r="BI14" s="387">
        <f t="shared" si="7"/>
        <v>0</v>
      </c>
      <c r="BJ14" s="387">
        <f t="shared" si="8"/>
        <v>110.31081699999999</v>
      </c>
      <c r="BK14" s="387">
        <f t="shared" si="9"/>
        <v>0</v>
      </c>
      <c r="BL14" s="387">
        <f t="shared" si="32"/>
        <v>1722.1978703000002</v>
      </c>
      <c r="BM14" s="387">
        <f t="shared" si="33"/>
        <v>0</v>
      </c>
      <c r="BN14" s="387">
        <f t="shared" si="10"/>
        <v>699</v>
      </c>
      <c r="BO14" s="387">
        <f t="shared" si="11"/>
        <v>0</v>
      </c>
      <c r="BP14" s="387">
        <f t="shared" si="12"/>
        <v>492.03386</v>
      </c>
      <c r="BQ14" s="387">
        <f t="shared" si="13"/>
        <v>115.072435</v>
      </c>
      <c r="BR14" s="387">
        <f t="shared" si="14"/>
        <v>947.56198200000006</v>
      </c>
      <c r="BS14" s="387">
        <f t="shared" si="15"/>
        <v>57.218776300000002</v>
      </c>
      <c r="BT14" s="387">
        <f t="shared" si="16"/>
        <v>0</v>
      </c>
      <c r="BU14" s="387">
        <f t="shared" si="17"/>
        <v>0</v>
      </c>
      <c r="BV14" s="387">
        <f t="shared" si="18"/>
        <v>110.31081699999999</v>
      </c>
      <c r="BW14" s="387">
        <f t="shared" si="19"/>
        <v>0</v>
      </c>
      <c r="BX14" s="387">
        <f t="shared" si="34"/>
        <v>1722.1978703000002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0365-00</v>
      </c>
    </row>
    <row r="15" spans="1:92" ht="15.75" thickBot="1" x14ac:dyDescent="0.3">
      <c r="A15" s="376" t="s">
        <v>161</v>
      </c>
      <c r="B15" s="376" t="s">
        <v>162</v>
      </c>
      <c r="C15" s="376" t="s">
        <v>241</v>
      </c>
      <c r="D15" s="376" t="s">
        <v>205</v>
      </c>
      <c r="E15" s="376" t="s">
        <v>216</v>
      </c>
      <c r="F15" s="377" t="s">
        <v>166</v>
      </c>
      <c r="G15" s="376" t="s">
        <v>167</v>
      </c>
      <c r="H15" s="378"/>
      <c r="I15" s="378"/>
      <c r="J15" s="376" t="s">
        <v>242</v>
      </c>
      <c r="K15" s="376" t="s">
        <v>206</v>
      </c>
      <c r="L15" s="376" t="s">
        <v>166</v>
      </c>
      <c r="M15" s="376" t="s">
        <v>207</v>
      </c>
      <c r="N15" s="376" t="s">
        <v>208</v>
      </c>
      <c r="O15" s="379">
        <v>0</v>
      </c>
      <c r="P15" s="385">
        <v>0.5</v>
      </c>
      <c r="Q15" s="385">
        <v>0</v>
      </c>
      <c r="R15" s="380">
        <v>0</v>
      </c>
      <c r="S15" s="385">
        <v>0</v>
      </c>
      <c r="T15" s="380">
        <v>0</v>
      </c>
      <c r="U15" s="380">
        <v>0</v>
      </c>
      <c r="V15" s="380">
        <v>0</v>
      </c>
      <c r="W15" s="380">
        <v>0</v>
      </c>
      <c r="X15" s="380">
        <v>0</v>
      </c>
      <c r="Y15" s="380">
        <v>0</v>
      </c>
      <c r="Z15" s="380">
        <v>0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181</v>
      </c>
      <c r="AM15" s="378"/>
      <c r="AN15" s="378"/>
      <c r="AO15" s="379">
        <v>0</v>
      </c>
      <c r="AP15" s="385">
        <v>0</v>
      </c>
      <c r="AQ15" s="385">
        <v>0</v>
      </c>
      <c r="AR15" s="384"/>
      <c r="AS15" s="387">
        <f t="shared" si="27"/>
        <v>0</v>
      </c>
      <c r="AT15">
        <f t="shared" si="28"/>
        <v>0</v>
      </c>
      <c r="AU15" s="387" t="str">
        <f>IF(AT15=0,"",IF(AND(AT15=1,M15="F",SUMIF(C2:C206,C15,AS2:AS206)&lt;=1),SUMIF(C2:C206,C15,AS2:AS206),IF(AND(AT15=1,M15="F",SUMIF(C2:C206,C15,AS2:AS206)&gt;1),1,"")))</f>
        <v/>
      </c>
      <c r="AV15" s="387" t="str">
        <f>IF(AT15=0,"",IF(AND(AT15=3,M15="F",SUMIF(C2:C206,C15,AS2:AS206)&lt;=1),SUMIF(C2:C206,C15,AS2:AS206),IF(AND(AT15=3,M15="F",SUMIF(C2:C206,C15,AS2:AS206)&gt;1),1,"")))</f>
        <v/>
      </c>
      <c r="AW15" s="387">
        <f>SUMIF(C2:C206,C15,O2:O206)</f>
        <v>0</v>
      </c>
      <c r="AX15" s="387">
        <f>IF(AND(M15="F",AS15&lt;&gt;0),SUMIF(C2:C206,C15,W2:W206),0)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>
        <f t="shared" si="41"/>
        <v>0</v>
      </c>
      <c r="CM15" s="387">
        <f t="shared" si="42"/>
        <v>0</v>
      </c>
      <c r="CN15" s="387" t="str">
        <f t="shared" si="43"/>
        <v>0365-00</v>
      </c>
    </row>
    <row r="16" spans="1:92" ht="15.75" thickBot="1" x14ac:dyDescent="0.3">
      <c r="A16" s="376" t="s">
        <v>161</v>
      </c>
      <c r="B16" s="376" t="s">
        <v>162</v>
      </c>
      <c r="C16" s="376" t="s">
        <v>243</v>
      </c>
      <c r="D16" s="376" t="s">
        <v>244</v>
      </c>
      <c r="E16" s="376" t="s">
        <v>216</v>
      </c>
      <c r="F16" s="377" t="s">
        <v>166</v>
      </c>
      <c r="G16" s="376" t="s">
        <v>167</v>
      </c>
      <c r="H16" s="378"/>
      <c r="I16" s="378"/>
      <c r="J16" s="376" t="s">
        <v>219</v>
      </c>
      <c r="K16" s="376" t="s">
        <v>245</v>
      </c>
      <c r="L16" s="376" t="s">
        <v>178</v>
      </c>
      <c r="M16" s="376" t="s">
        <v>171</v>
      </c>
      <c r="N16" s="376" t="s">
        <v>172</v>
      </c>
      <c r="O16" s="379">
        <v>1</v>
      </c>
      <c r="P16" s="385">
        <v>0.24</v>
      </c>
      <c r="Q16" s="385">
        <v>0.24</v>
      </c>
      <c r="R16" s="380">
        <v>80</v>
      </c>
      <c r="S16" s="385">
        <v>0.24</v>
      </c>
      <c r="T16" s="380">
        <v>7088.71</v>
      </c>
      <c r="U16" s="380">
        <v>0</v>
      </c>
      <c r="V16" s="380">
        <v>3689.69</v>
      </c>
      <c r="W16" s="380">
        <v>8047.1</v>
      </c>
      <c r="X16" s="380">
        <v>4606.34</v>
      </c>
      <c r="Y16" s="380">
        <v>8047.1</v>
      </c>
      <c r="Z16" s="380">
        <v>4566.91</v>
      </c>
      <c r="AA16" s="376" t="s">
        <v>246</v>
      </c>
      <c r="AB16" s="376" t="s">
        <v>247</v>
      </c>
      <c r="AC16" s="376" t="s">
        <v>248</v>
      </c>
      <c r="AD16" s="376" t="s">
        <v>249</v>
      </c>
      <c r="AE16" s="376" t="s">
        <v>245</v>
      </c>
      <c r="AF16" s="376" t="s">
        <v>250</v>
      </c>
      <c r="AG16" s="376" t="s">
        <v>178</v>
      </c>
      <c r="AH16" s="381">
        <v>16.12</v>
      </c>
      <c r="AI16" s="379">
        <v>1600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385">
        <v>1</v>
      </c>
      <c r="AQ16" s="385">
        <v>0.24</v>
      </c>
      <c r="AR16" s="383" t="s">
        <v>183</v>
      </c>
      <c r="AS16" s="387">
        <f t="shared" si="27"/>
        <v>0.24</v>
      </c>
      <c r="AT16">
        <f t="shared" si="28"/>
        <v>1</v>
      </c>
      <c r="AU16" s="387">
        <f>IF(AT16=0,"",IF(AND(AT16=1,M16="F",SUMIF(C2:C206,C16,AS2:AS206)&lt;=1),SUMIF(C2:C206,C16,AS2:AS206),IF(AND(AT16=1,M16="F",SUMIF(C2:C206,C16,AS2:AS206)&gt;1),1,"")))</f>
        <v>1</v>
      </c>
      <c r="AV16" s="387" t="str">
        <f>IF(AT16=0,"",IF(AND(AT16=3,M16="F",SUMIF(C2:C206,C16,AS2:AS206)&lt;=1),SUMIF(C2:C206,C16,AS2:AS206),IF(AND(AT16=3,M16="F",SUMIF(C2:C206,C16,AS2:AS206)&gt;1),1,"")))</f>
        <v/>
      </c>
      <c r="AW16" s="387">
        <f>SUMIF(C2:C206,C16,O2:O206)</f>
        <v>5</v>
      </c>
      <c r="AX16" s="387">
        <f>IF(AND(M16="F",AS16&lt;&gt;0),SUMIF(C2:C206,C16,W2:W206),0)</f>
        <v>33529.589999999997</v>
      </c>
      <c r="AY16" s="387">
        <f t="shared" si="29"/>
        <v>8047.1</v>
      </c>
      <c r="AZ16" s="387" t="str">
        <f t="shared" si="30"/>
        <v/>
      </c>
      <c r="BA16" s="387">
        <f t="shared" si="31"/>
        <v>0</v>
      </c>
      <c r="BB16" s="387">
        <f t="shared" si="0"/>
        <v>2796</v>
      </c>
      <c r="BC16" s="387">
        <f t="shared" si="1"/>
        <v>0</v>
      </c>
      <c r="BD16" s="387">
        <f t="shared" si="2"/>
        <v>498.92020000000002</v>
      </c>
      <c r="BE16" s="387">
        <f t="shared" si="3"/>
        <v>116.68295000000001</v>
      </c>
      <c r="BF16" s="387">
        <f t="shared" si="4"/>
        <v>960.82374000000004</v>
      </c>
      <c r="BG16" s="387">
        <f t="shared" si="5"/>
        <v>58.019591000000005</v>
      </c>
      <c r="BH16" s="387">
        <f t="shared" si="6"/>
        <v>39.430790000000002</v>
      </c>
      <c r="BI16" s="387">
        <f t="shared" si="7"/>
        <v>24.624126</v>
      </c>
      <c r="BJ16" s="387">
        <f t="shared" si="8"/>
        <v>111.85469000000001</v>
      </c>
      <c r="BK16" s="387">
        <f t="shared" si="9"/>
        <v>0</v>
      </c>
      <c r="BL16" s="387">
        <f t="shared" si="32"/>
        <v>1810.3560870000001</v>
      </c>
      <c r="BM16" s="387">
        <f t="shared" si="33"/>
        <v>0</v>
      </c>
      <c r="BN16" s="387">
        <f t="shared" si="10"/>
        <v>2796</v>
      </c>
      <c r="BO16" s="387">
        <f t="shared" si="11"/>
        <v>0</v>
      </c>
      <c r="BP16" s="387">
        <f t="shared" si="12"/>
        <v>498.92020000000002</v>
      </c>
      <c r="BQ16" s="387">
        <f t="shared" si="13"/>
        <v>116.68295000000001</v>
      </c>
      <c r="BR16" s="387">
        <f t="shared" si="14"/>
        <v>960.82374000000004</v>
      </c>
      <c r="BS16" s="387">
        <f t="shared" si="15"/>
        <v>58.019591000000005</v>
      </c>
      <c r="BT16" s="387">
        <f t="shared" si="16"/>
        <v>0</v>
      </c>
      <c r="BU16" s="387">
        <f t="shared" si="17"/>
        <v>24.624126</v>
      </c>
      <c r="BV16" s="387">
        <f t="shared" si="18"/>
        <v>111.85469000000001</v>
      </c>
      <c r="BW16" s="387">
        <f t="shared" si="19"/>
        <v>0</v>
      </c>
      <c r="BX16" s="387">
        <f t="shared" si="34"/>
        <v>1770.9252970000002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-39.430790000000002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-39.430790000000002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0365-00</v>
      </c>
    </row>
    <row r="17" spans="1:92" ht="15.75" thickBot="1" x14ac:dyDescent="0.3">
      <c r="A17" s="376" t="s">
        <v>161</v>
      </c>
      <c r="B17" s="376" t="s">
        <v>162</v>
      </c>
      <c r="C17" s="376" t="s">
        <v>204</v>
      </c>
      <c r="D17" s="376" t="s">
        <v>205</v>
      </c>
      <c r="E17" s="376" t="s">
        <v>251</v>
      </c>
      <c r="F17" s="382" t="s">
        <v>252</v>
      </c>
      <c r="G17" s="376" t="s">
        <v>167</v>
      </c>
      <c r="H17" s="378"/>
      <c r="I17" s="378"/>
      <c r="J17" s="376" t="s">
        <v>196</v>
      </c>
      <c r="K17" s="376" t="s">
        <v>206</v>
      </c>
      <c r="L17" s="376" t="s">
        <v>166</v>
      </c>
      <c r="M17" s="376" t="s">
        <v>207</v>
      </c>
      <c r="N17" s="376" t="s">
        <v>208</v>
      </c>
      <c r="O17" s="379">
        <v>0</v>
      </c>
      <c r="P17" s="385">
        <v>0.46</v>
      </c>
      <c r="Q17" s="385">
        <v>0</v>
      </c>
      <c r="R17" s="380">
        <v>0</v>
      </c>
      <c r="S17" s="385">
        <v>0</v>
      </c>
      <c r="T17" s="380">
        <v>0</v>
      </c>
      <c r="U17" s="380">
        <v>0</v>
      </c>
      <c r="V17" s="380">
        <v>0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181</v>
      </c>
      <c r="AM17" s="378"/>
      <c r="AN17" s="378"/>
      <c r="AO17" s="379">
        <v>0</v>
      </c>
      <c r="AP17" s="385">
        <v>0</v>
      </c>
      <c r="AQ17" s="385">
        <v>0</v>
      </c>
      <c r="AR17" s="384"/>
      <c r="AS17" s="387">
        <f t="shared" si="27"/>
        <v>0</v>
      </c>
      <c r="AT17">
        <f t="shared" si="28"/>
        <v>0</v>
      </c>
      <c r="AU17" s="387" t="str">
        <f>IF(AT17=0,"",IF(AND(AT17=1,M17="F",SUMIF(C2:C206,C17,AS2:AS206)&lt;=1),SUMIF(C2:C206,C17,AS2:AS206),IF(AND(AT17=1,M17="F",SUMIF(C2:C206,C17,AS2:AS206)&gt;1),1,"")))</f>
        <v/>
      </c>
      <c r="AV17" s="387" t="str">
        <f>IF(AT17=0,"",IF(AND(AT17=3,M17="F",SUMIF(C2:C206,C17,AS2:AS206)&lt;=1),SUMIF(C2:C206,C17,AS2:AS206),IF(AND(AT17=3,M17="F",SUMIF(C2:C206,C17,AS2:AS206)&gt;1),1,"")))</f>
        <v/>
      </c>
      <c r="AW17" s="387">
        <f>SUMIF(C2:C206,C17,O2:O206)</f>
        <v>0</v>
      </c>
      <c r="AX17" s="387">
        <f>IF(AND(M17="F",AS17&lt;&gt;0),SUMIF(C2:C206,C17,W2:W206),0)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>
        <f t="shared" si="41"/>
        <v>0</v>
      </c>
      <c r="CM17" s="387">
        <f t="shared" si="42"/>
        <v>0</v>
      </c>
      <c r="CN17" s="387" t="str">
        <f t="shared" si="43"/>
        <v>0450-14</v>
      </c>
    </row>
    <row r="18" spans="1:92" ht="15.75" thickBot="1" x14ac:dyDescent="0.3">
      <c r="A18" s="376" t="s">
        <v>161</v>
      </c>
      <c r="B18" s="376" t="s">
        <v>162</v>
      </c>
      <c r="C18" s="376" t="s">
        <v>209</v>
      </c>
      <c r="D18" s="376" t="s">
        <v>210</v>
      </c>
      <c r="E18" s="376" t="s">
        <v>251</v>
      </c>
      <c r="F18" s="382" t="s">
        <v>252</v>
      </c>
      <c r="G18" s="376" t="s">
        <v>167</v>
      </c>
      <c r="H18" s="378"/>
      <c r="I18" s="378"/>
      <c r="J18" s="376" t="s">
        <v>168</v>
      </c>
      <c r="K18" s="376" t="s">
        <v>211</v>
      </c>
      <c r="L18" s="376" t="s">
        <v>166</v>
      </c>
      <c r="M18" s="376" t="s">
        <v>171</v>
      </c>
      <c r="N18" s="376" t="s">
        <v>198</v>
      </c>
      <c r="O18" s="379">
        <v>1</v>
      </c>
      <c r="P18" s="385">
        <v>0.7</v>
      </c>
      <c r="Q18" s="385">
        <v>0.7</v>
      </c>
      <c r="R18" s="380">
        <v>80</v>
      </c>
      <c r="S18" s="385">
        <v>0.7</v>
      </c>
      <c r="T18" s="380">
        <v>77480.479999999996</v>
      </c>
      <c r="U18" s="380">
        <v>0</v>
      </c>
      <c r="V18" s="380">
        <v>23834.240000000002</v>
      </c>
      <c r="W18" s="380">
        <v>79876.160000000003</v>
      </c>
      <c r="X18" s="380">
        <v>25880.3</v>
      </c>
      <c r="Y18" s="380">
        <v>79876.160000000003</v>
      </c>
      <c r="Z18" s="380">
        <v>25488.91</v>
      </c>
      <c r="AA18" s="376" t="s">
        <v>212</v>
      </c>
      <c r="AB18" s="376" t="s">
        <v>213</v>
      </c>
      <c r="AC18" s="376" t="s">
        <v>214</v>
      </c>
      <c r="AD18" s="376" t="s">
        <v>215</v>
      </c>
      <c r="AE18" s="376" t="s">
        <v>211</v>
      </c>
      <c r="AF18" s="376" t="s">
        <v>203</v>
      </c>
      <c r="AG18" s="376" t="s">
        <v>178</v>
      </c>
      <c r="AH18" s="381">
        <v>54.86</v>
      </c>
      <c r="AI18" s="381">
        <v>4367.1000000000004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385">
        <v>1</v>
      </c>
      <c r="AQ18" s="385">
        <v>0.7</v>
      </c>
      <c r="AR18" s="383" t="s">
        <v>183</v>
      </c>
      <c r="AS18" s="387">
        <f t="shared" si="27"/>
        <v>0.7</v>
      </c>
      <c r="AT18">
        <f t="shared" si="28"/>
        <v>1</v>
      </c>
      <c r="AU18" s="387">
        <f>IF(AT18=0,"",IF(AND(AT18=1,M18="F",SUMIF(C2:C206,C18,AS2:AS206)&lt;=1),SUMIF(C2:C206,C18,AS2:AS206),IF(AND(AT18=1,M18="F",SUMIF(C2:C206,C18,AS2:AS206)&gt;1),1,"")))</f>
        <v>1</v>
      </c>
      <c r="AV18" s="387" t="str">
        <f>IF(AT18=0,"",IF(AND(AT18=3,M18="F",SUMIF(C2:C206,C18,AS2:AS206)&lt;=1),SUMIF(C2:C206,C18,AS2:AS206),IF(AND(AT18=3,M18="F",SUMIF(C2:C206,C18,AS2:AS206)&gt;1),1,"")))</f>
        <v/>
      </c>
      <c r="AW18" s="387">
        <f>SUMIF(C2:C206,C18,O2:O206)</f>
        <v>4</v>
      </c>
      <c r="AX18" s="387">
        <f>IF(AND(M18="F",AS18&lt;&gt;0),SUMIF(C2:C206,C18,W2:W206),0)</f>
        <v>114108.8</v>
      </c>
      <c r="AY18" s="387">
        <f t="shared" si="29"/>
        <v>79876.160000000003</v>
      </c>
      <c r="AZ18" s="387" t="str">
        <f t="shared" si="30"/>
        <v/>
      </c>
      <c r="BA18" s="387">
        <f t="shared" si="31"/>
        <v>0</v>
      </c>
      <c r="BB18" s="387">
        <f t="shared" si="0"/>
        <v>8154.9999999999991</v>
      </c>
      <c r="BC18" s="387">
        <f t="shared" si="1"/>
        <v>0</v>
      </c>
      <c r="BD18" s="387">
        <f t="shared" si="2"/>
        <v>4952.3219200000003</v>
      </c>
      <c r="BE18" s="387">
        <f t="shared" si="3"/>
        <v>1158.2043200000001</v>
      </c>
      <c r="BF18" s="387">
        <f t="shared" si="4"/>
        <v>9537.2135040000012</v>
      </c>
      <c r="BG18" s="387">
        <f t="shared" si="5"/>
        <v>575.9071136</v>
      </c>
      <c r="BH18" s="387">
        <f t="shared" si="6"/>
        <v>391.39318400000002</v>
      </c>
      <c r="BI18" s="387">
        <f t="shared" si="7"/>
        <v>0</v>
      </c>
      <c r="BJ18" s="387">
        <f t="shared" si="8"/>
        <v>1110.278624</v>
      </c>
      <c r="BK18" s="387">
        <f t="shared" si="9"/>
        <v>0</v>
      </c>
      <c r="BL18" s="387">
        <f t="shared" si="32"/>
        <v>17725.3186656</v>
      </c>
      <c r="BM18" s="387">
        <f t="shared" si="33"/>
        <v>0</v>
      </c>
      <c r="BN18" s="387">
        <f t="shared" si="10"/>
        <v>8154.9999999999991</v>
      </c>
      <c r="BO18" s="387">
        <f t="shared" si="11"/>
        <v>0</v>
      </c>
      <c r="BP18" s="387">
        <f t="shared" si="12"/>
        <v>4952.3219200000003</v>
      </c>
      <c r="BQ18" s="387">
        <f t="shared" si="13"/>
        <v>1158.2043200000001</v>
      </c>
      <c r="BR18" s="387">
        <f t="shared" si="14"/>
        <v>9537.2135040000012</v>
      </c>
      <c r="BS18" s="387">
        <f t="shared" si="15"/>
        <v>575.9071136</v>
      </c>
      <c r="BT18" s="387">
        <f t="shared" si="16"/>
        <v>0</v>
      </c>
      <c r="BU18" s="387">
        <f t="shared" si="17"/>
        <v>0</v>
      </c>
      <c r="BV18" s="387">
        <f t="shared" si="18"/>
        <v>1110.278624</v>
      </c>
      <c r="BW18" s="387">
        <f t="shared" si="19"/>
        <v>0</v>
      </c>
      <c r="BX18" s="387">
        <f t="shared" si="34"/>
        <v>17333.925481600003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-391.39318400000002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-391.39318400000002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0450-14</v>
      </c>
    </row>
    <row r="19" spans="1:92" ht="15.75" thickBot="1" x14ac:dyDescent="0.3">
      <c r="A19" s="376" t="s">
        <v>161</v>
      </c>
      <c r="B19" s="376" t="s">
        <v>162</v>
      </c>
      <c r="C19" s="376" t="s">
        <v>253</v>
      </c>
      <c r="D19" s="376" t="s">
        <v>254</v>
      </c>
      <c r="E19" s="376" t="s">
        <v>251</v>
      </c>
      <c r="F19" s="382" t="s">
        <v>252</v>
      </c>
      <c r="G19" s="376" t="s">
        <v>167</v>
      </c>
      <c r="H19" s="378"/>
      <c r="I19" s="378"/>
      <c r="J19" s="376" t="s">
        <v>186</v>
      </c>
      <c r="K19" s="376" t="s">
        <v>255</v>
      </c>
      <c r="L19" s="376" t="s">
        <v>178</v>
      </c>
      <c r="M19" s="376" t="s">
        <v>171</v>
      </c>
      <c r="N19" s="376" t="s">
        <v>172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39428.92</v>
      </c>
      <c r="U19" s="380">
        <v>0</v>
      </c>
      <c r="V19" s="380">
        <v>19510.23</v>
      </c>
      <c r="W19" s="380">
        <v>39790.400000000001</v>
      </c>
      <c r="X19" s="380">
        <v>20601.61</v>
      </c>
      <c r="Y19" s="380">
        <v>39790.400000000001</v>
      </c>
      <c r="Z19" s="380">
        <v>20406.64</v>
      </c>
      <c r="AA19" s="376" t="s">
        <v>256</v>
      </c>
      <c r="AB19" s="376" t="s">
        <v>257</v>
      </c>
      <c r="AC19" s="376" t="s">
        <v>258</v>
      </c>
      <c r="AD19" s="376" t="s">
        <v>170</v>
      </c>
      <c r="AE19" s="376" t="s">
        <v>255</v>
      </c>
      <c r="AF19" s="376" t="s">
        <v>250</v>
      </c>
      <c r="AG19" s="376" t="s">
        <v>178</v>
      </c>
      <c r="AH19" s="381">
        <v>19.13</v>
      </c>
      <c r="AI19" s="381">
        <v>32850.1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5">
        <v>1</v>
      </c>
      <c r="AQ19" s="385">
        <v>1</v>
      </c>
      <c r="AR19" s="383" t="s">
        <v>183</v>
      </c>
      <c r="AS19" s="387">
        <f t="shared" si="27"/>
        <v>1</v>
      </c>
      <c r="AT19">
        <f t="shared" si="28"/>
        <v>1</v>
      </c>
      <c r="AU19" s="387">
        <f>IF(AT19=0,"",IF(AND(AT19=1,M19="F",SUMIF(C2:C206,C19,AS2:AS206)&lt;=1),SUMIF(C2:C206,C19,AS2:AS206),IF(AND(AT19=1,M19="F",SUMIF(C2:C206,C19,AS2:AS206)&gt;1),1,"")))</f>
        <v>1</v>
      </c>
      <c r="AV19" s="387" t="str">
        <f>IF(AT19=0,"",IF(AND(AT19=3,M19="F",SUMIF(C2:C206,C19,AS2:AS206)&lt;=1),SUMIF(C2:C206,C19,AS2:AS206),IF(AND(AT19=3,M19="F",SUMIF(C2:C206,C19,AS2:AS206)&gt;1),1,"")))</f>
        <v/>
      </c>
      <c r="AW19" s="387">
        <f>SUMIF(C2:C206,C19,O2:O206)</f>
        <v>1</v>
      </c>
      <c r="AX19" s="387">
        <f>IF(AND(M19="F",AS19&lt;&gt;0),SUMIF(C2:C206,C19,W2:W206),0)</f>
        <v>39790.400000000001</v>
      </c>
      <c r="AY19" s="387">
        <f t="shared" si="29"/>
        <v>39790.400000000001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2467.0048000000002</v>
      </c>
      <c r="BE19" s="387">
        <f t="shared" si="3"/>
        <v>576.96080000000006</v>
      </c>
      <c r="BF19" s="387">
        <f t="shared" si="4"/>
        <v>4750.9737600000008</v>
      </c>
      <c r="BG19" s="387">
        <f t="shared" si="5"/>
        <v>286.88878400000004</v>
      </c>
      <c r="BH19" s="387">
        <f t="shared" si="6"/>
        <v>194.97296</v>
      </c>
      <c r="BI19" s="387">
        <f t="shared" si="7"/>
        <v>121.758624</v>
      </c>
      <c r="BJ19" s="387">
        <f t="shared" si="8"/>
        <v>553.08655999999996</v>
      </c>
      <c r="BK19" s="387">
        <f t="shared" si="9"/>
        <v>0</v>
      </c>
      <c r="BL19" s="387">
        <f t="shared" si="32"/>
        <v>8951.6462879999999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2467.0048000000002</v>
      </c>
      <c r="BQ19" s="387">
        <f t="shared" si="13"/>
        <v>576.96080000000006</v>
      </c>
      <c r="BR19" s="387">
        <f t="shared" si="14"/>
        <v>4750.9737600000008</v>
      </c>
      <c r="BS19" s="387">
        <f t="shared" si="15"/>
        <v>286.88878400000004</v>
      </c>
      <c r="BT19" s="387">
        <f t="shared" si="16"/>
        <v>0</v>
      </c>
      <c r="BU19" s="387">
        <f t="shared" si="17"/>
        <v>121.758624</v>
      </c>
      <c r="BV19" s="387">
        <f t="shared" si="18"/>
        <v>553.08655999999996</v>
      </c>
      <c r="BW19" s="387">
        <f t="shared" si="19"/>
        <v>0</v>
      </c>
      <c r="BX19" s="387">
        <f t="shared" si="34"/>
        <v>8756.6733280000008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-194.97296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-194.97296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0450-14</v>
      </c>
    </row>
    <row r="20" spans="1:92" ht="15.75" thickBot="1" x14ac:dyDescent="0.3">
      <c r="A20" s="376" t="s">
        <v>161</v>
      </c>
      <c r="B20" s="376" t="s">
        <v>162</v>
      </c>
      <c r="C20" s="376" t="s">
        <v>163</v>
      </c>
      <c r="D20" s="376" t="s">
        <v>164</v>
      </c>
      <c r="E20" s="376" t="s">
        <v>251</v>
      </c>
      <c r="F20" s="382" t="s">
        <v>252</v>
      </c>
      <c r="G20" s="376" t="s">
        <v>167</v>
      </c>
      <c r="H20" s="378"/>
      <c r="I20" s="378"/>
      <c r="J20" s="376" t="s">
        <v>168</v>
      </c>
      <c r="K20" s="376" t="s">
        <v>169</v>
      </c>
      <c r="L20" s="376" t="s">
        <v>170</v>
      </c>
      <c r="M20" s="376" t="s">
        <v>171</v>
      </c>
      <c r="N20" s="376" t="s">
        <v>172</v>
      </c>
      <c r="O20" s="379">
        <v>1</v>
      </c>
      <c r="P20" s="385">
        <v>0.55000000000000004</v>
      </c>
      <c r="Q20" s="385">
        <v>0.55000000000000004</v>
      </c>
      <c r="R20" s="380">
        <v>80</v>
      </c>
      <c r="S20" s="385">
        <v>0.55000000000000004</v>
      </c>
      <c r="T20" s="380">
        <v>34588.400000000001</v>
      </c>
      <c r="U20" s="380">
        <v>0</v>
      </c>
      <c r="V20" s="380">
        <v>12758.38</v>
      </c>
      <c r="W20" s="380">
        <v>35692.800000000003</v>
      </c>
      <c r="X20" s="380">
        <v>14437.3</v>
      </c>
      <c r="Y20" s="380">
        <v>35692.800000000003</v>
      </c>
      <c r="Z20" s="380">
        <v>14262.4</v>
      </c>
      <c r="AA20" s="376" t="s">
        <v>173</v>
      </c>
      <c r="AB20" s="376" t="s">
        <v>174</v>
      </c>
      <c r="AC20" s="376" t="s">
        <v>175</v>
      </c>
      <c r="AD20" s="376" t="s">
        <v>176</v>
      </c>
      <c r="AE20" s="376" t="s">
        <v>169</v>
      </c>
      <c r="AF20" s="376" t="s">
        <v>177</v>
      </c>
      <c r="AG20" s="376" t="s">
        <v>178</v>
      </c>
      <c r="AH20" s="381">
        <v>31.2</v>
      </c>
      <c r="AI20" s="381">
        <v>16254.3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385">
        <v>1</v>
      </c>
      <c r="AQ20" s="385">
        <v>0.55000000000000004</v>
      </c>
      <c r="AR20" s="383" t="s">
        <v>183</v>
      </c>
      <c r="AS20" s="387">
        <f t="shared" si="27"/>
        <v>0.55000000000000004</v>
      </c>
      <c r="AT20">
        <f t="shared" si="28"/>
        <v>1</v>
      </c>
      <c r="AU20" s="387">
        <f>IF(AT20=0,"",IF(AND(AT20=1,M20="F",SUMIF(C2:C206,C20,AS2:AS206)&lt;=1),SUMIF(C2:C206,C20,AS2:AS206),IF(AND(AT20=1,M20="F",SUMIF(C2:C206,C20,AS2:AS206)&gt;1),1,"")))</f>
        <v>1</v>
      </c>
      <c r="AV20" s="387" t="str">
        <f>IF(AT20=0,"",IF(AND(AT20=3,M20="F",SUMIF(C2:C206,C20,AS2:AS206)&lt;=1),SUMIF(C2:C206,C20,AS2:AS206),IF(AND(AT20=3,M20="F",SUMIF(C2:C206,C20,AS2:AS206)&gt;1),1,"")))</f>
        <v/>
      </c>
      <c r="AW20" s="387">
        <f>SUMIF(C2:C206,C20,O2:O206)</f>
        <v>4</v>
      </c>
      <c r="AX20" s="387">
        <f>IF(AND(M20="F",AS20&lt;&gt;0),SUMIF(C2:C206,C20,W2:W206),0)</f>
        <v>64896.000000000007</v>
      </c>
      <c r="AY20" s="387">
        <f t="shared" si="29"/>
        <v>35692.800000000003</v>
      </c>
      <c r="AZ20" s="387" t="str">
        <f t="shared" si="30"/>
        <v/>
      </c>
      <c r="BA20" s="387">
        <f t="shared" si="31"/>
        <v>0</v>
      </c>
      <c r="BB20" s="387">
        <f t="shared" si="0"/>
        <v>6407.5000000000009</v>
      </c>
      <c r="BC20" s="387">
        <f t="shared" si="1"/>
        <v>0</v>
      </c>
      <c r="BD20" s="387">
        <f t="shared" si="2"/>
        <v>2212.9536000000003</v>
      </c>
      <c r="BE20" s="387">
        <f t="shared" si="3"/>
        <v>517.54560000000004</v>
      </c>
      <c r="BF20" s="387">
        <f t="shared" si="4"/>
        <v>4261.7203200000004</v>
      </c>
      <c r="BG20" s="387">
        <f t="shared" si="5"/>
        <v>257.34508800000003</v>
      </c>
      <c r="BH20" s="387">
        <f t="shared" si="6"/>
        <v>174.89472000000001</v>
      </c>
      <c r="BI20" s="387">
        <f t="shared" si="7"/>
        <v>109.21996799999999</v>
      </c>
      <c r="BJ20" s="387">
        <f t="shared" si="8"/>
        <v>496.12992000000003</v>
      </c>
      <c r="BK20" s="387">
        <f t="shared" si="9"/>
        <v>0</v>
      </c>
      <c r="BL20" s="387">
        <f t="shared" si="32"/>
        <v>8029.8092160000015</v>
      </c>
      <c r="BM20" s="387">
        <f t="shared" si="33"/>
        <v>0</v>
      </c>
      <c r="BN20" s="387">
        <f t="shared" si="10"/>
        <v>6407.5000000000009</v>
      </c>
      <c r="BO20" s="387">
        <f t="shared" si="11"/>
        <v>0</v>
      </c>
      <c r="BP20" s="387">
        <f t="shared" si="12"/>
        <v>2212.9536000000003</v>
      </c>
      <c r="BQ20" s="387">
        <f t="shared" si="13"/>
        <v>517.54560000000004</v>
      </c>
      <c r="BR20" s="387">
        <f t="shared" si="14"/>
        <v>4261.7203200000004</v>
      </c>
      <c r="BS20" s="387">
        <f t="shared" si="15"/>
        <v>257.34508800000003</v>
      </c>
      <c r="BT20" s="387">
        <f t="shared" si="16"/>
        <v>0</v>
      </c>
      <c r="BU20" s="387">
        <f t="shared" si="17"/>
        <v>109.21996799999999</v>
      </c>
      <c r="BV20" s="387">
        <f t="shared" si="18"/>
        <v>496.12992000000003</v>
      </c>
      <c r="BW20" s="387">
        <f t="shared" si="19"/>
        <v>0</v>
      </c>
      <c r="BX20" s="387">
        <f t="shared" si="34"/>
        <v>7854.9144960000012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-174.89472000000001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-174.89472000000001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0450-14</v>
      </c>
    </row>
    <row r="21" spans="1:92" ht="15.75" thickBot="1" x14ac:dyDescent="0.3">
      <c r="A21" s="376" t="s">
        <v>161</v>
      </c>
      <c r="B21" s="376" t="s">
        <v>162</v>
      </c>
      <c r="C21" s="376" t="s">
        <v>221</v>
      </c>
      <c r="D21" s="376" t="s">
        <v>222</v>
      </c>
      <c r="E21" s="376" t="s">
        <v>251</v>
      </c>
      <c r="F21" s="382" t="s">
        <v>252</v>
      </c>
      <c r="G21" s="376" t="s">
        <v>167</v>
      </c>
      <c r="H21" s="378"/>
      <c r="I21" s="378"/>
      <c r="J21" s="376" t="s">
        <v>219</v>
      </c>
      <c r="K21" s="376" t="s">
        <v>223</v>
      </c>
      <c r="L21" s="376" t="s">
        <v>224</v>
      </c>
      <c r="M21" s="376" t="s">
        <v>171</v>
      </c>
      <c r="N21" s="376" t="s">
        <v>172</v>
      </c>
      <c r="O21" s="379">
        <v>1</v>
      </c>
      <c r="P21" s="385">
        <v>0.59</v>
      </c>
      <c r="Q21" s="385">
        <v>0.59</v>
      </c>
      <c r="R21" s="380">
        <v>80</v>
      </c>
      <c r="S21" s="385">
        <v>0.59</v>
      </c>
      <c r="T21" s="380">
        <v>50815.94</v>
      </c>
      <c r="U21" s="380">
        <v>0</v>
      </c>
      <c r="V21" s="380">
        <v>17211.32</v>
      </c>
      <c r="W21" s="380">
        <v>51370.59</v>
      </c>
      <c r="X21" s="380">
        <v>18430.310000000001</v>
      </c>
      <c r="Y21" s="380">
        <v>51370.59</v>
      </c>
      <c r="Z21" s="380">
        <v>18178.599999999999</v>
      </c>
      <c r="AA21" s="376" t="s">
        <v>225</v>
      </c>
      <c r="AB21" s="376" t="s">
        <v>226</v>
      </c>
      <c r="AC21" s="376" t="s">
        <v>227</v>
      </c>
      <c r="AD21" s="376" t="s">
        <v>228</v>
      </c>
      <c r="AE21" s="376" t="s">
        <v>223</v>
      </c>
      <c r="AF21" s="376" t="s">
        <v>229</v>
      </c>
      <c r="AG21" s="376" t="s">
        <v>178</v>
      </c>
      <c r="AH21" s="381">
        <v>41.86</v>
      </c>
      <c r="AI21" s="381">
        <v>25678.7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5">
        <v>1</v>
      </c>
      <c r="AQ21" s="385">
        <v>0.59</v>
      </c>
      <c r="AR21" s="383" t="s">
        <v>183</v>
      </c>
      <c r="AS21" s="387">
        <f t="shared" si="27"/>
        <v>0.59</v>
      </c>
      <c r="AT21">
        <f t="shared" si="28"/>
        <v>1</v>
      </c>
      <c r="AU21" s="387">
        <f>IF(AT21=0,"",IF(AND(AT21=1,M21="F",SUMIF(C2:C206,C21,AS2:AS206)&lt;=1),SUMIF(C2:C206,C21,AS2:AS206),IF(AND(AT21=1,M21="F",SUMIF(C2:C206,C21,AS2:AS206)&gt;1),1,"")))</f>
        <v>1</v>
      </c>
      <c r="AV21" s="387" t="str">
        <f>IF(AT21=0,"",IF(AND(AT21=3,M21="F",SUMIF(C2:C206,C21,AS2:AS206)&lt;=1),SUMIF(C2:C206,C21,AS2:AS206),IF(AND(AT21=3,M21="F",SUMIF(C2:C206,C21,AS2:AS206)&gt;1),1,"")))</f>
        <v/>
      </c>
      <c r="AW21" s="387">
        <f>SUMIF(C2:C206,C21,O2:O206)</f>
        <v>5</v>
      </c>
      <c r="AX21" s="387">
        <f>IF(AND(M21="F",AS21&lt;&gt;0),SUMIF(C2:C206,C21,W2:W206),0)</f>
        <v>87068.78</v>
      </c>
      <c r="AY21" s="387">
        <f t="shared" si="29"/>
        <v>51370.59</v>
      </c>
      <c r="AZ21" s="387" t="str">
        <f t="shared" si="30"/>
        <v/>
      </c>
      <c r="BA21" s="387">
        <f t="shared" si="31"/>
        <v>0</v>
      </c>
      <c r="BB21" s="387">
        <f t="shared" si="0"/>
        <v>6873.5</v>
      </c>
      <c r="BC21" s="387">
        <f t="shared" si="1"/>
        <v>0</v>
      </c>
      <c r="BD21" s="387">
        <f t="shared" si="2"/>
        <v>3184.9765799999996</v>
      </c>
      <c r="BE21" s="387">
        <f t="shared" si="3"/>
        <v>744.87355500000001</v>
      </c>
      <c r="BF21" s="387">
        <f t="shared" si="4"/>
        <v>6133.6484460000001</v>
      </c>
      <c r="BG21" s="387">
        <f t="shared" si="5"/>
        <v>370.38195389999998</v>
      </c>
      <c r="BH21" s="387">
        <f t="shared" si="6"/>
        <v>251.71589099999997</v>
      </c>
      <c r="BI21" s="387">
        <f t="shared" si="7"/>
        <v>157.19400539999998</v>
      </c>
      <c r="BJ21" s="387">
        <f t="shared" si="8"/>
        <v>714.05120099999988</v>
      </c>
      <c r="BK21" s="387">
        <f t="shared" si="9"/>
        <v>0</v>
      </c>
      <c r="BL21" s="387">
        <f t="shared" si="32"/>
        <v>11556.8416323</v>
      </c>
      <c r="BM21" s="387">
        <f t="shared" si="33"/>
        <v>0</v>
      </c>
      <c r="BN21" s="387">
        <f t="shared" si="10"/>
        <v>6873.5</v>
      </c>
      <c r="BO21" s="387">
        <f t="shared" si="11"/>
        <v>0</v>
      </c>
      <c r="BP21" s="387">
        <f t="shared" si="12"/>
        <v>3184.9765799999996</v>
      </c>
      <c r="BQ21" s="387">
        <f t="shared" si="13"/>
        <v>744.87355500000001</v>
      </c>
      <c r="BR21" s="387">
        <f t="shared" si="14"/>
        <v>6133.6484460000001</v>
      </c>
      <c r="BS21" s="387">
        <f t="shared" si="15"/>
        <v>370.38195389999998</v>
      </c>
      <c r="BT21" s="387">
        <f t="shared" si="16"/>
        <v>0</v>
      </c>
      <c r="BU21" s="387">
        <f t="shared" si="17"/>
        <v>157.19400539999998</v>
      </c>
      <c r="BV21" s="387">
        <f t="shared" si="18"/>
        <v>714.05120099999988</v>
      </c>
      <c r="BW21" s="387">
        <f t="shared" si="19"/>
        <v>0</v>
      </c>
      <c r="BX21" s="387">
        <f t="shared" si="34"/>
        <v>11305.1257413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-251.71589099999997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-251.71589099999997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0450-14</v>
      </c>
    </row>
    <row r="22" spans="1:92" ht="15.75" thickBot="1" x14ac:dyDescent="0.3">
      <c r="A22" s="376" t="s">
        <v>161</v>
      </c>
      <c r="B22" s="376" t="s">
        <v>162</v>
      </c>
      <c r="C22" s="376" t="s">
        <v>230</v>
      </c>
      <c r="D22" s="376" t="s">
        <v>164</v>
      </c>
      <c r="E22" s="376" t="s">
        <v>251</v>
      </c>
      <c r="F22" s="382" t="s">
        <v>252</v>
      </c>
      <c r="G22" s="376" t="s">
        <v>167</v>
      </c>
      <c r="H22" s="378"/>
      <c r="I22" s="378"/>
      <c r="J22" s="376" t="s">
        <v>231</v>
      </c>
      <c r="K22" s="376" t="s">
        <v>232</v>
      </c>
      <c r="L22" s="376" t="s">
        <v>188</v>
      </c>
      <c r="M22" s="376" t="s">
        <v>171</v>
      </c>
      <c r="N22" s="376" t="s">
        <v>172</v>
      </c>
      <c r="O22" s="379">
        <v>1</v>
      </c>
      <c r="P22" s="385">
        <v>0.55000000000000004</v>
      </c>
      <c r="Q22" s="385">
        <v>0.55000000000000004</v>
      </c>
      <c r="R22" s="380">
        <v>80</v>
      </c>
      <c r="S22" s="385">
        <v>0.55000000000000004</v>
      </c>
      <c r="T22" s="380">
        <v>27622.82</v>
      </c>
      <c r="U22" s="380">
        <v>0</v>
      </c>
      <c r="V22" s="380">
        <v>12095.35</v>
      </c>
      <c r="W22" s="380">
        <v>27524.639999999999</v>
      </c>
      <c r="X22" s="380">
        <v>12599.69</v>
      </c>
      <c r="Y22" s="380">
        <v>27524.639999999999</v>
      </c>
      <c r="Z22" s="380">
        <v>12464.82</v>
      </c>
      <c r="AA22" s="376" t="s">
        <v>233</v>
      </c>
      <c r="AB22" s="376" t="s">
        <v>234</v>
      </c>
      <c r="AC22" s="376" t="s">
        <v>235</v>
      </c>
      <c r="AD22" s="376" t="s">
        <v>236</v>
      </c>
      <c r="AE22" s="376" t="s">
        <v>232</v>
      </c>
      <c r="AF22" s="376" t="s">
        <v>193</v>
      </c>
      <c r="AG22" s="376" t="s">
        <v>178</v>
      </c>
      <c r="AH22" s="381">
        <v>24.06</v>
      </c>
      <c r="AI22" s="379">
        <v>17727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68</v>
      </c>
      <c r="AO22" s="379">
        <v>80</v>
      </c>
      <c r="AP22" s="385">
        <v>1</v>
      </c>
      <c r="AQ22" s="385">
        <v>0.55000000000000004</v>
      </c>
      <c r="AR22" s="383" t="s">
        <v>183</v>
      </c>
      <c r="AS22" s="387">
        <f t="shared" si="27"/>
        <v>0.55000000000000004</v>
      </c>
      <c r="AT22">
        <f t="shared" si="28"/>
        <v>1</v>
      </c>
      <c r="AU22" s="387">
        <f>IF(AT22=0,"",IF(AND(AT22=1,M22="F",SUMIF(C2:C206,C22,AS2:AS206)&lt;=1),SUMIF(C2:C206,C22,AS2:AS206),IF(AND(AT22=1,M22="F",SUMIF(C2:C206,C22,AS2:AS206)&gt;1),1,"")))</f>
        <v>1</v>
      </c>
      <c r="AV22" s="387" t="str">
        <f>IF(AT22=0,"",IF(AND(AT22=3,M22="F",SUMIF(C2:C206,C22,AS2:AS206)&lt;=1),SUMIF(C2:C206,C22,AS2:AS206),IF(AND(AT22=3,M22="F",SUMIF(C2:C206,C22,AS2:AS206)&gt;1),1,"")))</f>
        <v/>
      </c>
      <c r="AW22" s="387">
        <f>SUMIF(C2:C206,C22,O2:O206)</f>
        <v>6</v>
      </c>
      <c r="AX22" s="387">
        <f>IF(AND(M22="F",AS22&lt;&gt;0),SUMIF(C2:C206,C22,W2:W206),0)</f>
        <v>50044.78</v>
      </c>
      <c r="AY22" s="387">
        <f t="shared" si="29"/>
        <v>27524.639999999999</v>
      </c>
      <c r="AZ22" s="387" t="str">
        <f t="shared" si="30"/>
        <v/>
      </c>
      <c r="BA22" s="387">
        <f t="shared" si="31"/>
        <v>0</v>
      </c>
      <c r="BB22" s="387">
        <f t="shared" si="0"/>
        <v>6407.5000000000009</v>
      </c>
      <c r="BC22" s="387">
        <f t="shared" si="1"/>
        <v>0</v>
      </c>
      <c r="BD22" s="387">
        <f t="shared" si="2"/>
        <v>1706.5276799999999</v>
      </c>
      <c r="BE22" s="387">
        <f t="shared" si="3"/>
        <v>399.10728</v>
      </c>
      <c r="BF22" s="387">
        <f t="shared" si="4"/>
        <v>3286.442016</v>
      </c>
      <c r="BG22" s="387">
        <f t="shared" si="5"/>
        <v>198.4526544</v>
      </c>
      <c r="BH22" s="387">
        <f t="shared" si="6"/>
        <v>134.87073599999999</v>
      </c>
      <c r="BI22" s="387">
        <f t="shared" si="7"/>
        <v>84.225398399999989</v>
      </c>
      <c r="BJ22" s="387">
        <f t="shared" si="8"/>
        <v>382.59249599999998</v>
      </c>
      <c r="BK22" s="387">
        <f t="shared" si="9"/>
        <v>0</v>
      </c>
      <c r="BL22" s="387">
        <f t="shared" si="32"/>
        <v>6192.2182608000003</v>
      </c>
      <c r="BM22" s="387">
        <f t="shared" si="33"/>
        <v>0</v>
      </c>
      <c r="BN22" s="387">
        <f t="shared" si="10"/>
        <v>6407.5000000000009</v>
      </c>
      <c r="BO22" s="387">
        <f t="shared" si="11"/>
        <v>0</v>
      </c>
      <c r="BP22" s="387">
        <f t="shared" si="12"/>
        <v>1706.5276799999999</v>
      </c>
      <c r="BQ22" s="387">
        <f t="shared" si="13"/>
        <v>399.10728</v>
      </c>
      <c r="BR22" s="387">
        <f t="shared" si="14"/>
        <v>3286.442016</v>
      </c>
      <c r="BS22" s="387">
        <f t="shared" si="15"/>
        <v>198.4526544</v>
      </c>
      <c r="BT22" s="387">
        <f t="shared" si="16"/>
        <v>0</v>
      </c>
      <c r="BU22" s="387">
        <f t="shared" si="17"/>
        <v>84.225398399999989</v>
      </c>
      <c r="BV22" s="387">
        <f t="shared" si="18"/>
        <v>382.59249599999998</v>
      </c>
      <c r="BW22" s="387">
        <f t="shared" si="19"/>
        <v>0</v>
      </c>
      <c r="BX22" s="387">
        <f t="shared" si="34"/>
        <v>6057.3475248000004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-134.87073599999999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-134.87073599999999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0450-14</v>
      </c>
    </row>
    <row r="23" spans="1:92" ht="15.75" thickBot="1" x14ac:dyDescent="0.3">
      <c r="A23" s="376" t="s">
        <v>161</v>
      </c>
      <c r="B23" s="376" t="s">
        <v>162</v>
      </c>
      <c r="C23" s="376" t="s">
        <v>237</v>
      </c>
      <c r="D23" s="376" t="s">
        <v>164</v>
      </c>
      <c r="E23" s="376" t="s">
        <v>251</v>
      </c>
      <c r="F23" s="382" t="s">
        <v>252</v>
      </c>
      <c r="G23" s="376" t="s">
        <v>167</v>
      </c>
      <c r="H23" s="378"/>
      <c r="I23" s="378"/>
      <c r="J23" s="376" t="s">
        <v>168</v>
      </c>
      <c r="K23" s="376" t="s">
        <v>232</v>
      </c>
      <c r="L23" s="376" t="s">
        <v>188</v>
      </c>
      <c r="M23" s="376" t="s">
        <v>171</v>
      </c>
      <c r="N23" s="376" t="s">
        <v>172</v>
      </c>
      <c r="O23" s="379">
        <v>1</v>
      </c>
      <c r="P23" s="385">
        <v>0.4</v>
      </c>
      <c r="Q23" s="385">
        <v>0.4</v>
      </c>
      <c r="R23" s="380">
        <v>80</v>
      </c>
      <c r="S23" s="385">
        <v>0.4</v>
      </c>
      <c r="T23" s="380">
        <v>23827.68</v>
      </c>
      <c r="U23" s="380">
        <v>0</v>
      </c>
      <c r="V23" s="380">
        <v>10132.31</v>
      </c>
      <c r="W23" s="380">
        <v>21473.919999999998</v>
      </c>
      <c r="X23" s="380">
        <v>9490.9599999999991</v>
      </c>
      <c r="Y23" s="380">
        <v>21473.919999999998</v>
      </c>
      <c r="Z23" s="380">
        <v>9385.74</v>
      </c>
      <c r="AA23" s="376" t="s">
        <v>238</v>
      </c>
      <c r="AB23" s="376" t="s">
        <v>239</v>
      </c>
      <c r="AC23" s="376" t="s">
        <v>240</v>
      </c>
      <c r="AD23" s="376" t="s">
        <v>170</v>
      </c>
      <c r="AE23" s="376" t="s">
        <v>232</v>
      </c>
      <c r="AF23" s="376" t="s">
        <v>193</v>
      </c>
      <c r="AG23" s="376" t="s">
        <v>178</v>
      </c>
      <c r="AH23" s="381">
        <v>25.81</v>
      </c>
      <c r="AI23" s="379">
        <v>62513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385">
        <v>1</v>
      </c>
      <c r="AQ23" s="385">
        <v>0.4</v>
      </c>
      <c r="AR23" s="383" t="s">
        <v>183</v>
      </c>
      <c r="AS23" s="387">
        <f t="shared" si="27"/>
        <v>0.4</v>
      </c>
      <c r="AT23">
        <f t="shared" si="28"/>
        <v>1</v>
      </c>
      <c r="AU23" s="387">
        <f>IF(AT23=0,"",IF(AND(AT23=1,M23="F",SUMIF(C2:C206,C23,AS2:AS206)&lt;=1),SUMIF(C2:C206,C23,AS2:AS206),IF(AND(AT23=1,M23="F",SUMIF(C2:C206,C23,AS2:AS206)&gt;1),1,"")))</f>
        <v>1</v>
      </c>
      <c r="AV23" s="387" t="str">
        <f>IF(AT23=0,"",IF(AND(AT23=3,M23="F",SUMIF(C2:C206,C23,AS2:AS206)&lt;=1),SUMIF(C2:C206,C23,AS2:AS206),IF(AND(AT23=3,M23="F",SUMIF(C2:C206,C23,AS2:AS206)&gt;1),1,"")))</f>
        <v/>
      </c>
      <c r="AW23" s="387">
        <f>SUMIF(C2:C206,C23,O2:O206)</f>
        <v>4</v>
      </c>
      <c r="AX23" s="387">
        <f>IF(AND(M23="F",AS23&lt;&gt;0),SUMIF(C2:C206,C23,W2:W206),0)</f>
        <v>53684.799999999996</v>
      </c>
      <c r="AY23" s="387">
        <f t="shared" si="29"/>
        <v>21473.919999999998</v>
      </c>
      <c r="AZ23" s="387" t="str">
        <f t="shared" si="30"/>
        <v/>
      </c>
      <c r="BA23" s="387">
        <f t="shared" si="31"/>
        <v>0</v>
      </c>
      <c r="BB23" s="387">
        <f t="shared" si="0"/>
        <v>4660</v>
      </c>
      <c r="BC23" s="387">
        <f t="shared" si="1"/>
        <v>0</v>
      </c>
      <c r="BD23" s="387">
        <f t="shared" si="2"/>
        <v>1331.3830399999999</v>
      </c>
      <c r="BE23" s="387">
        <f t="shared" si="3"/>
        <v>311.37183999999996</v>
      </c>
      <c r="BF23" s="387">
        <f t="shared" si="4"/>
        <v>2563.9860479999998</v>
      </c>
      <c r="BG23" s="387">
        <f t="shared" si="5"/>
        <v>154.82696319999999</v>
      </c>
      <c r="BH23" s="387">
        <f t="shared" si="6"/>
        <v>105.22220799999999</v>
      </c>
      <c r="BI23" s="387">
        <f t="shared" si="7"/>
        <v>65.710195199999987</v>
      </c>
      <c r="BJ23" s="387">
        <f t="shared" si="8"/>
        <v>298.48748799999998</v>
      </c>
      <c r="BK23" s="387">
        <f t="shared" si="9"/>
        <v>0</v>
      </c>
      <c r="BL23" s="387">
        <f t="shared" si="32"/>
        <v>4830.9877823999996</v>
      </c>
      <c r="BM23" s="387">
        <f t="shared" si="33"/>
        <v>0</v>
      </c>
      <c r="BN23" s="387">
        <f t="shared" si="10"/>
        <v>4660</v>
      </c>
      <c r="BO23" s="387">
        <f t="shared" si="11"/>
        <v>0</v>
      </c>
      <c r="BP23" s="387">
        <f t="shared" si="12"/>
        <v>1331.3830399999999</v>
      </c>
      <c r="BQ23" s="387">
        <f t="shared" si="13"/>
        <v>311.37183999999996</v>
      </c>
      <c r="BR23" s="387">
        <f t="shared" si="14"/>
        <v>2563.9860479999998</v>
      </c>
      <c r="BS23" s="387">
        <f t="shared" si="15"/>
        <v>154.82696319999999</v>
      </c>
      <c r="BT23" s="387">
        <f t="shared" si="16"/>
        <v>0</v>
      </c>
      <c r="BU23" s="387">
        <f t="shared" si="17"/>
        <v>65.710195199999987</v>
      </c>
      <c r="BV23" s="387">
        <f t="shared" si="18"/>
        <v>298.48748799999998</v>
      </c>
      <c r="BW23" s="387">
        <f t="shared" si="19"/>
        <v>0</v>
      </c>
      <c r="BX23" s="387">
        <f t="shared" si="34"/>
        <v>4725.7655743999994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-105.22220799999999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-105.22220799999999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0450-14</v>
      </c>
    </row>
    <row r="24" spans="1:92" ht="15.75" thickBot="1" x14ac:dyDescent="0.3">
      <c r="A24" s="376" t="s">
        <v>161</v>
      </c>
      <c r="B24" s="376" t="s">
        <v>162</v>
      </c>
      <c r="C24" s="376" t="s">
        <v>184</v>
      </c>
      <c r="D24" s="376" t="s">
        <v>185</v>
      </c>
      <c r="E24" s="376" t="s">
        <v>251</v>
      </c>
      <c r="F24" s="382" t="s">
        <v>252</v>
      </c>
      <c r="G24" s="376" t="s">
        <v>167</v>
      </c>
      <c r="H24" s="378"/>
      <c r="I24" s="378"/>
      <c r="J24" s="376" t="s">
        <v>186</v>
      </c>
      <c r="K24" s="376" t="s">
        <v>187</v>
      </c>
      <c r="L24" s="376" t="s">
        <v>188</v>
      </c>
      <c r="M24" s="376" t="s">
        <v>171</v>
      </c>
      <c r="N24" s="376" t="s">
        <v>172</v>
      </c>
      <c r="O24" s="379">
        <v>1</v>
      </c>
      <c r="P24" s="385">
        <v>0</v>
      </c>
      <c r="Q24" s="385">
        <v>0</v>
      </c>
      <c r="R24" s="380">
        <v>80</v>
      </c>
      <c r="S24" s="385">
        <v>0</v>
      </c>
      <c r="T24" s="380">
        <v>10369.5</v>
      </c>
      <c r="U24" s="380">
        <v>0</v>
      </c>
      <c r="V24" s="380">
        <v>1040.3900000000001</v>
      </c>
      <c r="W24" s="380">
        <v>0</v>
      </c>
      <c r="X24" s="380">
        <v>0</v>
      </c>
      <c r="Y24" s="380">
        <v>0</v>
      </c>
      <c r="Z24" s="380">
        <v>0</v>
      </c>
      <c r="AA24" s="376" t="s">
        <v>189</v>
      </c>
      <c r="AB24" s="376" t="s">
        <v>190</v>
      </c>
      <c r="AC24" s="376" t="s">
        <v>191</v>
      </c>
      <c r="AD24" s="376" t="s">
        <v>192</v>
      </c>
      <c r="AE24" s="376" t="s">
        <v>187</v>
      </c>
      <c r="AF24" s="376" t="s">
        <v>193</v>
      </c>
      <c r="AG24" s="376" t="s">
        <v>178</v>
      </c>
      <c r="AH24" s="379">
        <v>30</v>
      </c>
      <c r="AI24" s="381">
        <v>32677.7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385">
        <v>1</v>
      </c>
      <c r="AQ24" s="385">
        <v>0</v>
      </c>
      <c r="AR24" s="383" t="s">
        <v>183</v>
      </c>
      <c r="AS24" s="387">
        <f t="shared" si="27"/>
        <v>0</v>
      </c>
      <c r="AT24">
        <f t="shared" si="28"/>
        <v>0</v>
      </c>
      <c r="AU24" s="387" t="str">
        <f>IF(AT24=0,"",IF(AND(AT24=1,M24="F",SUMIF(C2:C206,C24,AS2:AS206)&lt;=1),SUMIF(C2:C206,C24,AS2:AS206),IF(AND(AT24=1,M24="F",SUMIF(C2:C206,C24,AS2:AS206)&gt;1),1,"")))</f>
        <v/>
      </c>
      <c r="AV24" s="387" t="str">
        <f>IF(AT24=0,"",IF(AND(AT24=3,M24="F",SUMIF(C2:C206,C24,AS2:AS206)&lt;=1),SUMIF(C2:C206,C24,AS2:AS206),IF(AND(AT24=3,M24="F",SUMIF(C2:C206,C24,AS2:AS206)&gt;1),1,"")))</f>
        <v/>
      </c>
      <c r="AW24" s="387">
        <f>SUMIF(C2:C206,C24,O2:O206)</f>
        <v>2</v>
      </c>
      <c r="AX24" s="387">
        <f>IF(AND(M24="F",AS24&lt;&gt;0),SUMIF(C2:C206,C24,W2:W206),0)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0450-14</v>
      </c>
    </row>
    <row r="25" spans="1:92" ht="15.75" thickBot="1" x14ac:dyDescent="0.3">
      <c r="A25" s="376" t="s">
        <v>161</v>
      </c>
      <c r="B25" s="376" t="s">
        <v>162</v>
      </c>
      <c r="C25" s="376" t="s">
        <v>194</v>
      </c>
      <c r="D25" s="376" t="s">
        <v>195</v>
      </c>
      <c r="E25" s="376" t="s">
        <v>251</v>
      </c>
      <c r="F25" s="382" t="s">
        <v>252</v>
      </c>
      <c r="G25" s="376" t="s">
        <v>167</v>
      </c>
      <c r="H25" s="378"/>
      <c r="I25" s="378"/>
      <c r="J25" s="376" t="s">
        <v>196</v>
      </c>
      <c r="K25" s="376" t="s">
        <v>197</v>
      </c>
      <c r="L25" s="376" t="s">
        <v>166</v>
      </c>
      <c r="M25" s="376" t="s">
        <v>171</v>
      </c>
      <c r="N25" s="376" t="s">
        <v>198</v>
      </c>
      <c r="O25" s="379">
        <v>1</v>
      </c>
      <c r="P25" s="385">
        <v>0.46</v>
      </c>
      <c r="Q25" s="385">
        <v>0.46</v>
      </c>
      <c r="R25" s="380">
        <v>80</v>
      </c>
      <c r="S25" s="385">
        <v>0.46</v>
      </c>
      <c r="T25" s="380">
        <v>56862.65</v>
      </c>
      <c r="U25" s="380">
        <v>0</v>
      </c>
      <c r="V25" s="380">
        <v>16496.18</v>
      </c>
      <c r="W25" s="380">
        <v>60842.91</v>
      </c>
      <c r="X25" s="380">
        <v>18562.5</v>
      </c>
      <c r="Y25" s="380">
        <v>60842.91</v>
      </c>
      <c r="Z25" s="380">
        <v>18562.5</v>
      </c>
      <c r="AA25" s="376" t="s">
        <v>199</v>
      </c>
      <c r="AB25" s="376" t="s">
        <v>200</v>
      </c>
      <c r="AC25" s="376" t="s">
        <v>201</v>
      </c>
      <c r="AD25" s="376" t="s">
        <v>202</v>
      </c>
      <c r="AE25" s="376" t="s">
        <v>197</v>
      </c>
      <c r="AF25" s="376" t="s">
        <v>203</v>
      </c>
      <c r="AG25" s="376" t="s">
        <v>178</v>
      </c>
      <c r="AH25" s="381">
        <v>63.59</v>
      </c>
      <c r="AI25" s="379">
        <v>24698</v>
      </c>
      <c r="AJ25" s="376" t="s">
        <v>179</v>
      </c>
      <c r="AK25" s="376" t="s">
        <v>180</v>
      </c>
      <c r="AL25" s="376" t="s">
        <v>181</v>
      </c>
      <c r="AM25" s="376" t="s">
        <v>181</v>
      </c>
      <c r="AN25" s="376" t="s">
        <v>68</v>
      </c>
      <c r="AO25" s="379">
        <v>80</v>
      </c>
      <c r="AP25" s="385">
        <v>1</v>
      </c>
      <c r="AQ25" s="385">
        <v>0.46</v>
      </c>
      <c r="AR25" s="383" t="s">
        <v>183</v>
      </c>
      <c r="AS25" s="387">
        <f t="shared" si="27"/>
        <v>0.46</v>
      </c>
      <c r="AT25">
        <f t="shared" si="28"/>
        <v>1</v>
      </c>
      <c r="AU25" s="387">
        <f>IF(AT25=0,"",IF(AND(AT25=1,M25="F",SUMIF(C2:C206,C25,AS2:AS206)&lt;=1),SUMIF(C2:C206,C25,AS2:AS206),IF(AND(AT25=1,M25="F",SUMIF(C2:C206,C25,AS2:AS206)&gt;1),1,"")))</f>
        <v>1</v>
      </c>
      <c r="AV25" s="387" t="str">
        <f>IF(AT25=0,"",IF(AND(AT25=3,M25="F",SUMIF(C2:C206,C25,AS2:AS206)&lt;=1),SUMIF(C2:C206,C25,AS2:AS206),IF(AND(AT25=3,M25="F",SUMIF(C2:C206,C25,AS2:AS206)&gt;1),1,"")))</f>
        <v/>
      </c>
      <c r="AW25" s="387">
        <f>SUMIF(C2:C206,C25,O2:O206)</f>
        <v>7</v>
      </c>
      <c r="AX25" s="387">
        <f>IF(AND(M25="F",AS25&lt;&gt;0),SUMIF(C2:C206,C25,W2:W206),0)</f>
        <v>132267.19</v>
      </c>
      <c r="AY25" s="387">
        <f t="shared" si="29"/>
        <v>60842.91</v>
      </c>
      <c r="AZ25" s="387" t="str">
        <f t="shared" si="30"/>
        <v/>
      </c>
      <c r="BA25" s="387">
        <f t="shared" si="31"/>
        <v>0</v>
      </c>
      <c r="BB25" s="387">
        <f t="shared" si="0"/>
        <v>5359</v>
      </c>
      <c r="BC25" s="387">
        <f t="shared" si="1"/>
        <v>0</v>
      </c>
      <c r="BD25" s="387">
        <f t="shared" si="2"/>
        <v>3772.2604200000001</v>
      </c>
      <c r="BE25" s="387">
        <f t="shared" si="3"/>
        <v>882.22219500000006</v>
      </c>
      <c r="BF25" s="387">
        <f t="shared" si="4"/>
        <v>7264.6434540000009</v>
      </c>
      <c r="BG25" s="387">
        <f t="shared" si="5"/>
        <v>438.67738110000005</v>
      </c>
      <c r="BH25" s="387">
        <f t="shared" si="6"/>
        <v>0</v>
      </c>
      <c r="BI25" s="387">
        <f t="shared" si="7"/>
        <v>0</v>
      </c>
      <c r="BJ25" s="387">
        <f t="shared" si="8"/>
        <v>845.71644900000001</v>
      </c>
      <c r="BK25" s="387">
        <f t="shared" si="9"/>
        <v>0</v>
      </c>
      <c r="BL25" s="387">
        <f t="shared" si="32"/>
        <v>13203.519899100002</v>
      </c>
      <c r="BM25" s="387">
        <f t="shared" si="33"/>
        <v>0</v>
      </c>
      <c r="BN25" s="387">
        <f t="shared" si="10"/>
        <v>5359</v>
      </c>
      <c r="BO25" s="387">
        <f t="shared" si="11"/>
        <v>0</v>
      </c>
      <c r="BP25" s="387">
        <f t="shared" si="12"/>
        <v>3772.2604200000001</v>
      </c>
      <c r="BQ25" s="387">
        <f t="shared" si="13"/>
        <v>882.22219500000006</v>
      </c>
      <c r="BR25" s="387">
        <f t="shared" si="14"/>
        <v>7264.6434540000009</v>
      </c>
      <c r="BS25" s="387">
        <f t="shared" si="15"/>
        <v>438.67738110000005</v>
      </c>
      <c r="BT25" s="387">
        <f t="shared" si="16"/>
        <v>0</v>
      </c>
      <c r="BU25" s="387">
        <f t="shared" si="17"/>
        <v>0</v>
      </c>
      <c r="BV25" s="387">
        <f t="shared" si="18"/>
        <v>845.71644900000001</v>
      </c>
      <c r="BW25" s="387">
        <f t="shared" si="19"/>
        <v>0</v>
      </c>
      <c r="BX25" s="387">
        <f t="shared" si="34"/>
        <v>13203.519899100002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0450-14</v>
      </c>
    </row>
    <row r="26" spans="1:92" ht="15.75" thickBot="1" x14ac:dyDescent="0.3">
      <c r="A26" s="376" t="s">
        <v>161</v>
      </c>
      <c r="B26" s="376" t="s">
        <v>162</v>
      </c>
      <c r="C26" s="376" t="s">
        <v>243</v>
      </c>
      <c r="D26" s="376" t="s">
        <v>244</v>
      </c>
      <c r="E26" s="376" t="s">
        <v>251</v>
      </c>
      <c r="F26" s="382" t="s">
        <v>252</v>
      </c>
      <c r="G26" s="376" t="s">
        <v>167</v>
      </c>
      <c r="H26" s="378"/>
      <c r="I26" s="378"/>
      <c r="J26" s="376" t="s">
        <v>219</v>
      </c>
      <c r="K26" s="376" t="s">
        <v>245</v>
      </c>
      <c r="L26" s="376" t="s">
        <v>178</v>
      </c>
      <c r="M26" s="376" t="s">
        <v>171</v>
      </c>
      <c r="N26" s="376" t="s">
        <v>172</v>
      </c>
      <c r="O26" s="379">
        <v>1</v>
      </c>
      <c r="P26" s="385">
        <v>0.45</v>
      </c>
      <c r="Q26" s="385">
        <v>0.45</v>
      </c>
      <c r="R26" s="380">
        <v>80</v>
      </c>
      <c r="S26" s="385">
        <v>0.45</v>
      </c>
      <c r="T26" s="380">
        <v>13291.37</v>
      </c>
      <c r="U26" s="380">
        <v>0</v>
      </c>
      <c r="V26" s="380">
        <v>6918.48</v>
      </c>
      <c r="W26" s="380">
        <v>15088.32</v>
      </c>
      <c r="X26" s="380">
        <v>8636.9</v>
      </c>
      <c r="Y26" s="380">
        <v>15088.32</v>
      </c>
      <c r="Z26" s="380">
        <v>8562.9699999999993</v>
      </c>
      <c r="AA26" s="376" t="s">
        <v>246</v>
      </c>
      <c r="AB26" s="376" t="s">
        <v>247</v>
      </c>
      <c r="AC26" s="376" t="s">
        <v>248</v>
      </c>
      <c r="AD26" s="376" t="s">
        <v>249</v>
      </c>
      <c r="AE26" s="376" t="s">
        <v>245</v>
      </c>
      <c r="AF26" s="376" t="s">
        <v>250</v>
      </c>
      <c r="AG26" s="376" t="s">
        <v>178</v>
      </c>
      <c r="AH26" s="381">
        <v>16.12</v>
      </c>
      <c r="AI26" s="379">
        <v>1600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385">
        <v>1</v>
      </c>
      <c r="AQ26" s="385">
        <v>0.45</v>
      </c>
      <c r="AR26" s="383" t="s">
        <v>183</v>
      </c>
      <c r="AS26" s="387">
        <f t="shared" si="27"/>
        <v>0.45</v>
      </c>
      <c r="AT26">
        <f t="shared" si="28"/>
        <v>1</v>
      </c>
      <c r="AU26" s="387">
        <f>IF(AT26=0,"",IF(AND(AT26=1,M26="F",SUMIF(C2:C206,C26,AS2:AS206)&lt;=1),SUMIF(C2:C206,C26,AS2:AS206),IF(AND(AT26=1,M26="F",SUMIF(C2:C206,C26,AS2:AS206)&gt;1),1,"")))</f>
        <v>1</v>
      </c>
      <c r="AV26" s="387" t="str">
        <f>IF(AT26=0,"",IF(AND(AT26=3,M26="F",SUMIF(C2:C206,C26,AS2:AS206)&lt;=1),SUMIF(C2:C206,C26,AS2:AS206),IF(AND(AT26=3,M26="F",SUMIF(C2:C206,C26,AS2:AS206)&gt;1),1,"")))</f>
        <v/>
      </c>
      <c r="AW26" s="387">
        <f>SUMIF(C2:C206,C26,O2:O206)</f>
        <v>5</v>
      </c>
      <c r="AX26" s="387">
        <f>IF(AND(M26="F",AS26&lt;&gt;0),SUMIF(C2:C206,C26,W2:W206),0)</f>
        <v>33529.589999999997</v>
      </c>
      <c r="AY26" s="387">
        <f t="shared" si="29"/>
        <v>15088.32</v>
      </c>
      <c r="AZ26" s="387" t="str">
        <f t="shared" si="30"/>
        <v/>
      </c>
      <c r="BA26" s="387">
        <f t="shared" si="31"/>
        <v>0</v>
      </c>
      <c r="BB26" s="387">
        <f t="shared" si="0"/>
        <v>5242.5</v>
      </c>
      <c r="BC26" s="387">
        <f t="shared" si="1"/>
        <v>0</v>
      </c>
      <c r="BD26" s="387">
        <f t="shared" si="2"/>
        <v>935.47583999999995</v>
      </c>
      <c r="BE26" s="387">
        <f t="shared" si="3"/>
        <v>218.78064000000001</v>
      </c>
      <c r="BF26" s="387">
        <f t="shared" si="4"/>
        <v>1801.545408</v>
      </c>
      <c r="BG26" s="387">
        <f t="shared" si="5"/>
        <v>108.78678720000001</v>
      </c>
      <c r="BH26" s="387">
        <f t="shared" si="6"/>
        <v>73.932767999999996</v>
      </c>
      <c r="BI26" s="387">
        <f t="shared" si="7"/>
        <v>46.170259199999997</v>
      </c>
      <c r="BJ26" s="387">
        <f t="shared" si="8"/>
        <v>209.72764799999999</v>
      </c>
      <c r="BK26" s="387">
        <f t="shared" si="9"/>
        <v>0</v>
      </c>
      <c r="BL26" s="387">
        <f t="shared" si="32"/>
        <v>3394.4193504000004</v>
      </c>
      <c r="BM26" s="387">
        <f t="shared" si="33"/>
        <v>0</v>
      </c>
      <c r="BN26" s="387">
        <f t="shared" si="10"/>
        <v>5242.5</v>
      </c>
      <c r="BO26" s="387">
        <f t="shared" si="11"/>
        <v>0</v>
      </c>
      <c r="BP26" s="387">
        <f t="shared" si="12"/>
        <v>935.47583999999995</v>
      </c>
      <c r="BQ26" s="387">
        <f t="shared" si="13"/>
        <v>218.78064000000001</v>
      </c>
      <c r="BR26" s="387">
        <f t="shared" si="14"/>
        <v>1801.545408</v>
      </c>
      <c r="BS26" s="387">
        <f t="shared" si="15"/>
        <v>108.78678720000001</v>
      </c>
      <c r="BT26" s="387">
        <f t="shared" si="16"/>
        <v>0</v>
      </c>
      <c r="BU26" s="387">
        <f t="shared" si="17"/>
        <v>46.170259199999997</v>
      </c>
      <c r="BV26" s="387">
        <f t="shared" si="18"/>
        <v>209.72764799999999</v>
      </c>
      <c r="BW26" s="387">
        <f t="shared" si="19"/>
        <v>0</v>
      </c>
      <c r="BX26" s="387">
        <f t="shared" si="34"/>
        <v>3320.4865824000003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-73.932767999999996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-73.932767999999996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0450-14</v>
      </c>
    </row>
    <row r="27" spans="1:92" ht="15.75" thickBot="1" x14ac:dyDescent="0.3">
      <c r="A27" s="376" t="s">
        <v>161</v>
      </c>
      <c r="B27" s="376" t="s">
        <v>162</v>
      </c>
      <c r="C27" s="376" t="s">
        <v>259</v>
      </c>
      <c r="D27" s="376" t="s">
        <v>254</v>
      </c>
      <c r="E27" s="376" t="s">
        <v>251</v>
      </c>
      <c r="F27" s="382" t="s">
        <v>252</v>
      </c>
      <c r="G27" s="376" t="s">
        <v>167</v>
      </c>
      <c r="H27" s="378"/>
      <c r="I27" s="378"/>
      <c r="J27" s="376" t="s">
        <v>186</v>
      </c>
      <c r="K27" s="376" t="s">
        <v>255</v>
      </c>
      <c r="L27" s="376" t="s">
        <v>178</v>
      </c>
      <c r="M27" s="376" t="s">
        <v>171</v>
      </c>
      <c r="N27" s="376" t="s">
        <v>172</v>
      </c>
      <c r="O27" s="379">
        <v>1</v>
      </c>
      <c r="P27" s="385">
        <v>0</v>
      </c>
      <c r="Q27" s="385">
        <v>0</v>
      </c>
      <c r="R27" s="380">
        <v>80</v>
      </c>
      <c r="S27" s="385">
        <v>0</v>
      </c>
      <c r="T27" s="380">
        <v>76.760000000000005</v>
      </c>
      <c r="U27" s="380">
        <v>0</v>
      </c>
      <c r="V27" s="380">
        <v>39.020000000000003</v>
      </c>
      <c r="W27" s="380">
        <v>0</v>
      </c>
      <c r="X27" s="380">
        <v>0</v>
      </c>
      <c r="Y27" s="380">
        <v>0</v>
      </c>
      <c r="Z27" s="380">
        <v>0</v>
      </c>
      <c r="AA27" s="376" t="s">
        <v>260</v>
      </c>
      <c r="AB27" s="376" t="s">
        <v>261</v>
      </c>
      <c r="AC27" s="376" t="s">
        <v>262</v>
      </c>
      <c r="AD27" s="376" t="s">
        <v>263</v>
      </c>
      <c r="AE27" s="376" t="s">
        <v>255</v>
      </c>
      <c r="AF27" s="376" t="s">
        <v>250</v>
      </c>
      <c r="AG27" s="376" t="s">
        <v>178</v>
      </c>
      <c r="AH27" s="381">
        <v>19.190000000000001</v>
      </c>
      <c r="AI27" s="381">
        <v>62825.3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385">
        <v>1</v>
      </c>
      <c r="AQ27" s="385">
        <v>0</v>
      </c>
      <c r="AR27" s="383" t="s">
        <v>183</v>
      </c>
      <c r="AS27" s="387">
        <f t="shared" si="27"/>
        <v>0</v>
      </c>
      <c r="AT27">
        <f t="shared" si="28"/>
        <v>0</v>
      </c>
      <c r="AU27" s="387" t="str">
        <f>IF(AT27=0,"",IF(AND(AT27=1,M27="F",SUMIF(C2:C206,C27,AS2:AS206)&lt;=1),SUMIF(C2:C206,C27,AS2:AS206),IF(AND(AT27=1,M27="F",SUMIF(C2:C206,C27,AS2:AS206)&gt;1),1,"")))</f>
        <v/>
      </c>
      <c r="AV27" s="387" t="str">
        <f>IF(AT27=0,"",IF(AND(AT27=3,M27="F",SUMIF(C2:C206,C27,AS2:AS206)&lt;=1),SUMIF(C2:C206,C27,AS2:AS206),IF(AND(AT27=3,M27="F",SUMIF(C2:C206,C27,AS2:AS206)&gt;1),1,"")))</f>
        <v/>
      </c>
      <c r="AW27" s="387">
        <f>SUMIF(C2:C206,C27,O2:O206)</f>
        <v>2</v>
      </c>
      <c r="AX27" s="387">
        <f>IF(AND(M27="F",AS27&lt;&gt;0),SUMIF(C2:C206,C27,W2:W206),0)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0450-14</v>
      </c>
    </row>
    <row r="28" spans="1:92" ht="15.75" thickBot="1" x14ac:dyDescent="0.3">
      <c r="A28" s="376" t="s">
        <v>161</v>
      </c>
      <c r="B28" s="376" t="s">
        <v>162</v>
      </c>
      <c r="C28" s="376" t="s">
        <v>217</v>
      </c>
      <c r="D28" s="376" t="s">
        <v>218</v>
      </c>
      <c r="E28" s="376" t="s">
        <v>251</v>
      </c>
      <c r="F28" s="382" t="s">
        <v>252</v>
      </c>
      <c r="G28" s="376" t="s">
        <v>167</v>
      </c>
      <c r="H28" s="378"/>
      <c r="I28" s="378"/>
      <c r="J28" s="376" t="s">
        <v>219</v>
      </c>
      <c r="K28" s="376" t="s">
        <v>220</v>
      </c>
      <c r="L28" s="376" t="s">
        <v>188</v>
      </c>
      <c r="M28" s="376" t="s">
        <v>207</v>
      </c>
      <c r="N28" s="376" t="s">
        <v>172</v>
      </c>
      <c r="O28" s="379">
        <v>0</v>
      </c>
      <c r="P28" s="385">
        <v>0.54</v>
      </c>
      <c r="Q28" s="385">
        <v>0.54</v>
      </c>
      <c r="R28" s="380">
        <v>80</v>
      </c>
      <c r="S28" s="385">
        <v>0.54</v>
      </c>
      <c r="T28" s="380">
        <v>2562.62</v>
      </c>
      <c r="U28" s="380">
        <v>0</v>
      </c>
      <c r="V28" s="380">
        <v>1038.68</v>
      </c>
      <c r="W28" s="380">
        <v>25597.72</v>
      </c>
      <c r="X28" s="380">
        <v>11211.8</v>
      </c>
      <c r="Y28" s="380">
        <v>25597.72</v>
      </c>
      <c r="Z28" s="380">
        <v>11083.81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181</v>
      </c>
      <c r="AM28" s="378"/>
      <c r="AN28" s="378"/>
      <c r="AO28" s="379">
        <v>0</v>
      </c>
      <c r="AP28" s="385">
        <v>0</v>
      </c>
      <c r="AQ28" s="385">
        <v>0</v>
      </c>
      <c r="AR28" s="384"/>
      <c r="AS28" s="387">
        <f t="shared" si="27"/>
        <v>0</v>
      </c>
      <c r="AT28">
        <f t="shared" si="28"/>
        <v>0</v>
      </c>
      <c r="AU28" s="387" t="str">
        <f>IF(AT28=0,"",IF(AND(AT28=1,M28="F",SUMIF(C2:C206,C28,AS2:AS206)&lt;=1),SUMIF(C2:C206,C28,AS2:AS206),IF(AND(AT28=1,M28="F",SUMIF(C2:C206,C28,AS2:AS206)&gt;1),1,"")))</f>
        <v/>
      </c>
      <c r="AV28" s="387" t="str">
        <f>IF(AT28=0,"",IF(AND(AT28=3,M28="F",SUMIF(C2:C206,C28,AS2:AS206)&lt;=1),SUMIF(C2:C206,C28,AS2:AS206),IF(AND(AT28=3,M28="F",SUMIF(C2:C206,C28,AS2:AS206)&gt;1),1,"")))</f>
        <v/>
      </c>
      <c r="AW28" s="387">
        <f>SUMIF(C2:C206,C28,O2:O206)</f>
        <v>0</v>
      </c>
      <c r="AX28" s="387">
        <f>IF(AND(M28="F",AS28&lt;&gt;0),SUMIF(C2:C206,C28,W2:W206),0)</f>
        <v>0</v>
      </c>
      <c r="AY28" s="387" t="str">
        <f t="shared" si="29"/>
        <v/>
      </c>
      <c r="AZ28" s="387" t="str">
        <f t="shared" si="30"/>
        <v/>
      </c>
      <c r="BA28" s="387">
        <f t="shared" si="31"/>
        <v>0</v>
      </c>
      <c r="BB28" s="387">
        <f t="shared" si="0"/>
        <v>0</v>
      </c>
      <c r="BC28" s="387">
        <f t="shared" si="1"/>
        <v>0</v>
      </c>
      <c r="BD28" s="387">
        <f t="shared" si="2"/>
        <v>0</v>
      </c>
      <c r="BE28" s="387">
        <f t="shared" si="3"/>
        <v>0</v>
      </c>
      <c r="BF28" s="387">
        <f t="shared" si="4"/>
        <v>0</v>
      </c>
      <c r="BG28" s="387">
        <f t="shared" si="5"/>
        <v>0</v>
      </c>
      <c r="BH28" s="387">
        <f t="shared" si="6"/>
        <v>0</v>
      </c>
      <c r="BI28" s="387">
        <f t="shared" si="7"/>
        <v>0</v>
      </c>
      <c r="BJ28" s="387">
        <f t="shared" si="8"/>
        <v>0</v>
      </c>
      <c r="BK28" s="387">
        <f t="shared" si="9"/>
        <v>0</v>
      </c>
      <c r="BL28" s="387">
        <f t="shared" si="32"/>
        <v>0</v>
      </c>
      <c r="BM28" s="387">
        <f t="shared" si="33"/>
        <v>0</v>
      </c>
      <c r="BN28" s="387">
        <f t="shared" si="10"/>
        <v>0</v>
      </c>
      <c r="BO28" s="387">
        <f t="shared" si="11"/>
        <v>0</v>
      </c>
      <c r="BP28" s="387">
        <f t="shared" si="12"/>
        <v>0</v>
      </c>
      <c r="BQ28" s="387">
        <f t="shared" si="13"/>
        <v>0</v>
      </c>
      <c r="BR28" s="387">
        <f t="shared" si="14"/>
        <v>0</v>
      </c>
      <c r="BS28" s="387">
        <f t="shared" si="15"/>
        <v>0</v>
      </c>
      <c r="BT28" s="387">
        <f t="shared" si="16"/>
        <v>0</v>
      </c>
      <c r="BU28" s="387">
        <f t="shared" si="17"/>
        <v>0</v>
      </c>
      <c r="BV28" s="387">
        <f t="shared" si="18"/>
        <v>0</v>
      </c>
      <c r="BW28" s="387">
        <f t="shared" si="19"/>
        <v>0</v>
      </c>
      <c r="BX28" s="387">
        <f t="shared" si="34"/>
        <v>0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0</v>
      </c>
      <c r="CI28" s="387">
        <f t="shared" si="26"/>
        <v>0</v>
      </c>
      <c r="CJ28" s="387">
        <f t="shared" si="39"/>
        <v>0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0450-14</v>
      </c>
    </row>
    <row r="29" spans="1:92" ht="15.75" thickBot="1" x14ac:dyDescent="0.3">
      <c r="A29" s="376" t="s">
        <v>161</v>
      </c>
      <c r="B29" s="376" t="s">
        <v>162</v>
      </c>
      <c r="C29" s="376" t="s">
        <v>241</v>
      </c>
      <c r="D29" s="376" t="s">
        <v>205</v>
      </c>
      <c r="E29" s="376" t="s">
        <v>251</v>
      </c>
      <c r="F29" s="382" t="s">
        <v>252</v>
      </c>
      <c r="G29" s="376" t="s">
        <v>167</v>
      </c>
      <c r="H29" s="378"/>
      <c r="I29" s="378"/>
      <c r="J29" s="376" t="s">
        <v>242</v>
      </c>
      <c r="K29" s="376" t="s">
        <v>206</v>
      </c>
      <c r="L29" s="376" t="s">
        <v>166</v>
      </c>
      <c r="M29" s="376" t="s">
        <v>207</v>
      </c>
      <c r="N29" s="376" t="s">
        <v>208</v>
      </c>
      <c r="O29" s="379">
        <v>0</v>
      </c>
      <c r="P29" s="385">
        <v>0.5</v>
      </c>
      <c r="Q29" s="385">
        <v>0</v>
      </c>
      <c r="R29" s="380">
        <v>0</v>
      </c>
      <c r="S29" s="385">
        <v>0</v>
      </c>
      <c r="T29" s="380">
        <v>0</v>
      </c>
      <c r="U29" s="380">
        <v>0</v>
      </c>
      <c r="V29" s="380">
        <v>0</v>
      </c>
      <c r="W29" s="380">
        <v>0</v>
      </c>
      <c r="X29" s="380">
        <v>0</v>
      </c>
      <c r="Y29" s="380">
        <v>0</v>
      </c>
      <c r="Z29" s="380">
        <v>0</v>
      </c>
      <c r="AA29" s="378"/>
      <c r="AB29" s="376" t="s">
        <v>45</v>
      </c>
      <c r="AC29" s="376" t="s">
        <v>45</v>
      </c>
      <c r="AD29" s="378"/>
      <c r="AE29" s="378"/>
      <c r="AF29" s="378"/>
      <c r="AG29" s="378"/>
      <c r="AH29" s="379">
        <v>0</v>
      </c>
      <c r="AI29" s="379">
        <v>0</v>
      </c>
      <c r="AJ29" s="378"/>
      <c r="AK29" s="378"/>
      <c r="AL29" s="376" t="s">
        <v>181</v>
      </c>
      <c r="AM29" s="378"/>
      <c r="AN29" s="378"/>
      <c r="AO29" s="379">
        <v>0</v>
      </c>
      <c r="AP29" s="385">
        <v>0</v>
      </c>
      <c r="AQ29" s="385">
        <v>0</v>
      </c>
      <c r="AR29" s="384"/>
      <c r="AS29" s="387">
        <f t="shared" si="27"/>
        <v>0</v>
      </c>
      <c r="AT29">
        <f t="shared" si="28"/>
        <v>0</v>
      </c>
      <c r="AU29" s="387" t="str">
        <f>IF(AT29=0,"",IF(AND(AT29=1,M29="F",SUMIF(C2:C206,C29,AS2:AS206)&lt;=1),SUMIF(C2:C206,C29,AS2:AS206),IF(AND(AT29=1,M29="F",SUMIF(C2:C206,C29,AS2:AS206)&gt;1),1,"")))</f>
        <v/>
      </c>
      <c r="AV29" s="387" t="str">
        <f>IF(AT29=0,"",IF(AND(AT29=3,M29="F",SUMIF(C2:C206,C29,AS2:AS206)&lt;=1),SUMIF(C2:C206,C29,AS2:AS206),IF(AND(AT29=3,M29="F",SUMIF(C2:C206,C29,AS2:AS206)&gt;1),1,"")))</f>
        <v/>
      </c>
      <c r="AW29" s="387">
        <f>SUMIF(C2:C206,C29,O2:O206)</f>
        <v>0</v>
      </c>
      <c r="AX29" s="387">
        <f>IF(AND(M29="F",AS29&lt;&gt;0),SUMIF(C2:C206,C29,W2:W206),0)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>
        <f t="shared" si="41"/>
        <v>0</v>
      </c>
      <c r="CM29" s="387">
        <f t="shared" si="42"/>
        <v>0</v>
      </c>
      <c r="CN29" s="387" t="str">
        <f t="shared" si="43"/>
        <v>0450-14</v>
      </c>
    </row>
    <row r="30" spans="1:92" ht="15.75" thickBot="1" x14ac:dyDescent="0.3">
      <c r="A30" s="376" t="s">
        <v>161</v>
      </c>
      <c r="B30" s="376" t="s">
        <v>162</v>
      </c>
      <c r="C30" s="376" t="s">
        <v>204</v>
      </c>
      <c r="D30" s="376" t="s">
        <v>205</v>
      </c>
      <c r="E30" s="376" t="s">
        <v>264</v>
      </c>
      <c r="F30" s="377" t="s">
        <v>166</v>
      </c>
      <c r="G30" s="376" t="s">
        <v>167</v>
      </c>
      <c r="H30" s="378"/>
      <c r="I30" s="378"/>
      <c r="J30" s="376" t="s">
        <v>196</v>
      </c>
      <c r="K30" s="376" t="s">
        <v>206</v>
      </c>
      <c r="L30" s="376" t="s">
        <v>166</v>
      </c>
      <c r="M30" s="376" t="s">
        <v>207</v>
      </c>
      <c r="N30" s="376" t="s">
        <v>208</v>
      </c>
      <c r="O30" s="379">
        <v>0</v>
      </c>
      <c r="P30" s="385">
        <v>0.04</v>
      </c>
      <c r="Q30" s="385">
        <v>0</v>
      </c>
      <c r="R30" s="380">
        <v>0</v>
      </c>
      <c r="S30" s="385">
        <v>0</v>
      </c>
      <c r="T30" s="380">
        <v>0</v>
      </c>
      <c r="U30" s="380">
        <v>0</v>
      </c>
      <c r="V30" s="380">
        <v>0</v>
      </c>
      <c r="W30" s="380">
        <v>0</v>
      </c>
      <c r="X30" s="380">
        <v>0</v>
      </c>
      <c r="Y30" s="380">
        <v>0</v>
      </c>
      <c r="Z30" s="380">
        <v>0</v>
      </c>
      <c r="AA30" s="378"/>
      <c r="AB30" s="376" t="s">
        <v>45</v>
      </c>
      <c r="AC30" s="376" t="s">
        <v>45</v>
      </c>
      <c r="AD30" s="378"/>
      <c r="AE30" s="378"/>
      <c r="AF30" s="378"/>
      <c r="AG30" s="378"/>
      <c r="AH30" s="379">
        <v>0</v>
      </c>
      <c r="AI30" s="379">
        <v>0</v>
      </c>
      <c r="AJ30" s="378"/>
      <c r="AK30" s="378"/>
      <c r="AL30" s="376" t="s">
        <v>181</v>
      </c>
      <c r="AM30" s="378"/>
      <c r="AN30" s="378"/>
      <c r="AO30" s="379">
        <v>0</v>
      </c>
      <c r="AP30" s="385">
        <v>0</v>
      </c>
      <c r="AQ30" s="385">
        <v>0</v>
      </c>
      <c r="AR30" s="384"/>
      <c r="AS30" s="387">
        <f t="shared" si="27"/>
        <v>0</v>
      </c>
      <c r="AT30">
        <f t="shared" si="28"/>
        <v>0</v>
      </c>
      <c r="AU30" s="387" t="str">
        <f>IF(AT30=0,"",IF(AND(AT30=1,M30="F",SUMIF(C2:C206,C30,AS2:AS206)&lt;=1),SUMIF(C2:C206,C30,AS2:AS206),IF(AND(AT30=1,M30="F",SUMIF(C2:C206,C30,AS2:AS206)&gt;1),1,"")))</f>
        <v/>
      </c>
      <c r="AV30" s="387" t="str">
        <f>IF(AT30=0,"",IF(AND(AT30=3,M30="F",SUMIF(C2:C206,C30,AS2:AS206)&lt;=1),SUMIF(C2:C206,C30,AS2:AS206),IF(AND(AT30=3,M30="F",SUMIF(C2:C206,C30,AS2:AS206)&gt;1),1,"")))</f>
        <v/>
      </c>
      <c r="AW30" s="387">
        <f>SUMIF(C2:C206,C30,O2:O206)</f>
        <v>0</v>
      </c>
      <c r="AX30" s="387">
        <f>IF(AND(M30="F",AS30&lt;&gt;0),SUMIF(C2:C206,C30,W2:W206),0)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>
        <f t="shared" si="41"/>
        <v>0</v>
      </c>
      <c r="CM30" s="387">
        <f t="shared" si="42"/>
        <v>0</v>
      </c>
      <c r="CN30" s="387" t="str">
        <f t="shared" si="43"/>
        <v>0519-00</v>
      </c>
    </row>
    <row r="31" spans="1:92" ht="15.75" thickBot="1" x14ac:dyDescent="0.3">
      <c r="A31" s="376" t="s">
        <v>161</v>
      </c>
      <c r="B31" s="376" t="s">
        <v>162</v>
      </c>
      <c r="C31" s="376" t="s">
        <v>221</v>
      </c>
      <c r="D31" s="376" t="s">
        <v>222</v>
      </c>
      <c r="E31" s="376" t="s">
        <v>264</v>
      </c>
      <c r="F31" s="377" t="s">
        <v>166</v>
      </c>
      <c r="G31" s="376" t="s">
        <v>167</v>
      </c>
      <c r="H31" s="378"/>
      <c r="I31" s="378"/>
      <c r="J31" s="376" t="s">
        <v>219</v>
      </c>
      <c r="K31" s="376" t="s">
        <v>223</v>
      </c>
      <c r="L31" s="376" t="s">
        <v>224</v>
      </c>
      <c r="M31" s="376" t="s">
        <v>171</v>
      </c>
      <c r="N31" s="376" t="s">
        <v>172</v>
      </c>
      <c r="O31" s="379">
        <v>1</v>
      </c>
      <c r="P31" s="385">
        <v>0.01</v>
      </c>
      <c r="Q31" s="385">
        <v>0.01</v>
      </c>
      <c r="R31" s="380">
        <v>80</v>
      </c>
      <c r="S31" s="385">
        <v>0.01</v>
      </c>
      <c r="T31" s="380">
        <v>861.32</v>
      </c>
      <c r="U31" s="380">
        <v>0</v>
      </c>
      <c r="V31" s="380">
        <v>291.70999999999998</v>
      </c>
      <c r="W31" s="380">
        <v>870.68</v>
      </c>
      <c r="X31" s="380">
        <v>312.37</v>
      </c>
      <c r="Y31" s="380">
        <v>870.68</v>
      </c>
      <c r="Z31" s="380">
        <v>308.11</v>
      </c>
      <c r="AA31" s="376" t="s">
        <v>225</v>
      </c>
      <c r="AB31" s="376" t="s">
        <v>226</v>
      </c>
      <c r="AC31" s="376" t="s">
        <v>227</v>
      </c>
      <c r="AD31" s="376" t="s">
        <v>228</v>
      </c>
      <c r="AE31" s="376" t="s">
        <v>223</v>
      </c>
      <c r="AF31" s="376" t="s">
        <v>229</v>
      </c>
      <c r="AG31" s="376" t="s">
        <v>178</v>
      </c>
      <c r="AH31" s="381">
        <v>41.86</v>
      </c>
      <c r="AI31" s="381">
        <v>25678.7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80</v>
      </c>
      <c r="AP31" s="385">
        <v>1</v>
      </c>
      <c r="AQ31" s="385">
        <v>0.01</v>
      </c>
      <c r="AR31" s="383" t="s">
        <v>183</v>
      </c>
      <c r="AS31" s="387">
        <f t="shared" si="27"/>
        <v>0.01</v>
      </c>
      <c r="AT31">
        <f t="shared" si="28"/>
        <v>1</v>
      </c>
      <c r="AU31" s="387">
        <f>IF(AT31=0,"",IF(AND(AT31=1,M31="F",SUMIF(C2:C206,C31,AS2:AS206)&lt;=1),SUMIF(C2:C206,C31,AS2:AS206),IF(AND(AT31=1,M31="F",SUMIF(C2:C206,C31,AS2:AS206)&gt;1),1,"")))</f>
        <v>1</v>
      </c>
      <c r="AV31" s="387" t="str">
        <f>IF(AT31=0,"",IF(AND(AT31=3,M31="F",SUMIF(C2:C206,C31,AS2:AS206)&lt;=1),SUMIF(C2:C206,C31,AS2:AS206),IF(AND(AT31=3,M31="F",SUMIF(C2:C206,C31,AS2:AS206)&gt;1),1,"")))</f>
        <v/>
      </c>
      <c r="AW31" s="387">
        <f>SUMIF(C2:C206,C31,O2:O206)</f>
        <v>5</v>
      </c>
      <c r="AX31" s="387">
        <f>IF(AND(M31="F",AS31&lt;&gt;0),SUMIF(C2:C206,C31,W2:W206),0)</f>
        <v>87068.78</v>
      </c>
      <c r="AY31" s="387">
        <f t="shared" si="29"/>
        <v>870.68</v>
      </c>
      <c r="AZ31" s="387" t="str">
        <f t="shared" si="30"/>
        <v/>
      </c>
      <c r="BA31" s="387">
        <f t="shared" si="31"/>
        <v>0</v>
      </c>
      <c r="BB31" s="387">
        <f t="shared" si="0"/>
        <v>116.5</v>
      </c>
      <c r="BC31" s="387">
        <f t="shared" si="1"/>
        <v>0</v>
      </c>
      <c r="BD31" s="387">
        <f t="shared" si="2"/>
        <v>53.982159999999993</v>
      </c>
      <c r="BE31" s="387">
        <f t="shared" si="3"/>
        <v>12.62486</v>
      </c>
      <c r="BF31" s="387">
        <f t="shared" si="4"/>
        <v>103.959192</v>
      </c>
      <c r="BG31" s="387">
        <f t="shared" si="5"/>
        <v>6.2776027999999995</v>
      </c>
      <c r="BH31" s="387">
        <f t="shared" si="6"/>
        <v>4.2663319999999993</v>
      </c>
      <c r="BI31" s="387">
        <f t="shared" si="7"/>
        <v>2.6642807999999998</v>
      </c>
      <c r="BJ31" s="387">
        <f t="shared" si="8"/>
        <v>12.102451999999998</v>
      </c>
      <c r="BK31" s="387">
        <f t="shared" si="9"/>
        <v>0</v>
      </c>
      <c r="BL31" s="387">
        <f t="shared" si="32"/>
        <v>195.87687960000002</v>
      </c>
      <c r="BM31" s="387">
        <f t="shared" si="33"/>
        <v>0</v>
      </c>
      <c r="BN31" s="387">
        <f t="shared" si="10"/>
        <v>116.5</v>
      </c>
      <c r="BO31" s="387">
        <f t="shared" si="11"/>
        <v>0</v>
      </c>
      <c r="BP31" s="387">
        <f t="shared" si="12"/>
        <v>53.982159999999993</v>
      </c>
      <c r="BQ31" s="387">
        <f t="shared" si="13"/>
        <v>12.62486</v>
      </c>
      <c r="BR31" s="387">
        <f t="shared" si="14"/>
        <v>103.959192</v>
      </c>
      <c r="BS31" s="387">
        <f t="shared" si="15"/>
        <v>6.2776027999999995</v>
      </c>
      <c r="BT31" s="387">
        <f t="shared" si="16"/>
        <v>0</v>
      </c>
      <c r="BU31" s="387">
        <f t="shared" si="17"/>
        <v>2.6642807999999998</v>
      </c>
      <c r="BV31" s="387">
        <f t="shared" si="18"/>
        <v>12.102451999999998</v>
      </c>
      <c r="BW31" s="387">
        <f t="shared" si="19"/>
        <v>0</v>
      </c>
      <c r="BX31" s="387">
        <f t="shared" si="34"/>
        <v>191.61054760000002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-4.2663319999999993</v>
      </c>
      <c r="CG31" s="387">
        <f t="shared" si="24"/>
        <v>0</v>
      </c>
      <c r="CH31" s="387">
        <f t="shared" si="25"/>
        <v>0</v>
      </c>
      <c r="CI31" s="387">
        <f t="shared" si="26"/>
        <v>0</v>
      </c>
      <c r="CJ31" s="387">
        <f t="shared" si="39"/>
        <v>-4.2663319999999993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0519-00</v>
      </c>
    </row>
    <row r="32" spans="1:92" ht="15.75" thickBot="1" x14ac:dyDescent="0.3">
      <c r="A32" s="376" t="s">
        <v>161</v>
      </c>
      <c r="B32" s="376" t="s">
        <v>162</v>
      </c>
      <c r="C32" s="376" t="s">
        <v>230</v>
      </c>
      <c r="D32" s="376" t="s">
        <v>164</v>
      </c>
      <c r="E32" s="376" t="s">
        <v>264</v>
      </c>
      <c r="F32" s="377" t="s">
        <v>166</v>
      </c>
      <c r="G32" s="376" t="s">
        <v>167</v>
      </c>
      <c r="H32" s="378"/>
      <c r="I32" s="378"/>
      <c r="J32" s="376" t="s">
        <v>231</v>
      </c>
      <c r="K32" s="376" t="s">
        <v>232</v>
      </c>
      <c r="L32" s="376" t="s">
        <v>188</v>
      </c>
      <c r="M32" s="376" t="s">
        <v>171</v>
      </c>
      <c r="N32" s="376" t="s">
        <v>172</v>
      </c>
      <c r="O32" s="379">
        <v>1</v>
      </c>
      <c r="P32" s="385">
        <v>0.11</v>
      </c>
      <c r="Q32" s="385">
        <v>0.11</v>
      </c>
      <c r="R32" s="380">
        <v>80</v>
      </c>
      <c r="S32" s="385">
        <v>0.11</v>
      </c>
      <c r="T32" s="380">
        <v>5524.63</v>
      </c>
      <c r="U32" s="380">
        <v>0</v>
      </c>
      <c r="V32" s="380">
        <v>2419</v>
      </c>
      <c r="W32" s="380">
        <v>5504.92</v>
      </c>
      <c r="X32" s="380">
        <v>2519.9299999999998</v>
      </c>
      <c r="Y32" s="380">
        <v>5504.92</v>
      </c>
      <c r="Z32" s="380">
        <v>2492.96</v>
      </c>
      <c r="AA32" s="376" t="s">
        <v>233</v>
      </c>
      <c r="AB32" s="376" t="s">
        <v>234</v>
      </c>
      <c r="AC32" s="376" t="s">
        <v>235</v>
      </c>
      <c r="AD32" s="376" t="s">
        <v>236</v>
      </c>
      <c r="AE32" s="376" t="s">
        <v>232</v>
      </c>
      <c r="AF32" s="376" t="s">
        <v>193</v>
      </c>
      <c r="AG32" s="376" t="s">
        <v>178</v>
      </c>
      <c r="AH32" s="381">
        <v>24.06</v>
      </c>
      <c r="AI32" s="379">
        <v>17727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68</v>
      </c>
      <c r="AO32" s="379">
        <v>80</v>
      </c>
      <c r="AP32" s="385">
        <v>1</v>
      </c>
      <c r="AQ32" s="385">
        <v>0.11</v>
      </c>
      <c r="AR32" s="383" t="s">
        <v>183</v>
      </c>
      <c r="AS32" s="387">
        <f t="shared" si="27"/>
        <v>0.11</v>
      </c>
      <c r="AT32">
        <f t="shared" si="28"/>
        <v>1</v>
      </c>
      <c r="AU32" s="387">
        <f>IF(AT32=0,"",IF(AND(AT32=1,M32="F",SUMIF(C2:C206,C32,AS2:AS206)&lt;=1),SUMIF(C2:C206,C32,AS2:AS206),IF(AND(AT32=1,M32="F",SUMIF(C2:C206,C32,AS2:AS206)&gt;1),1,"")))</f>
        <v>1</v>
      </c>
      <c r="AV32" s="387" t="str">
        <f>IF(AT32=0,"",IF(AND(AT32=3,M32="F",SUMIF(C2:C206,C32,AS2:AS206)&lt;=1),SUMIF(C2:C206,C32,AS2:AS206),IF(AND(AT32=3,M32="F",SUMIF(C2:C206,C32,AS2:AS206)&gt;1),1,"")))</f>
        <v/>
      </c>
      <c r="AW32" s="387">
        <f>SUMIF(C2:C206,C32,O2:O206)</f>
        <v>6</v>
      </c>
      <c r="AX32" s="387">
        <f>IF(AND(M32="F",AS32&lt;&gt;0),SUMIF(C2:C206,C32,W2:W206),0)</f>
        <v>50044.78</v>
      </c>
      <c r="AY32" s="387">
        <f t="shared" si="29"/>
        <v>5504.92</v>
      </c>
      <c r="AZ32" s="387" t="str">
        <f t="shared" si="30"/>
        <v/>
      </c>
      <c r="BA32" s="387">
        <f t="shared" si="31"/>
        <v>0</v>
      </c>
      <c r="BB32" s="387">
        <f t="shared" si="0"/>
        <v>1281.5</v>
      </c>
      <c r="BC32" s="387">
        <f t="shared" si="1"/>
        <v>0</v>
      </c>
      <c r="BD32" s="387">
        <f t="shared" si="2"/>
        <v>341.30504000000002</v>
      </c>
      <c r="BE32" s="387">
        <f t="shared" si="3"/>
        <v>79.821340000000006</v>
      </c>
      <c r="BF32" s="387">
        <f t="shared" si="4"/>
        <v>657.28744800000004</v>
      </c>
      <c r="BG32" s="387">
        <f t="shared" si="5"/>
        <v>39.6904732</v>
      </c>
      <c r="BH32" s="387">
        <f t="shared" si="6"/>
        <v>26.974108000000001</v>
      </c>
      <c r="BI32" s="387">
        <f t="shared" si="7"/>
        <v>16.845055199999997</v>
      </c>
      <c r="BJ32" s="387">
        <f t="shared" si="8"/>
        <v>76.518388000000002</v>
      </c>
      <c r="BK32" s="387">
        <f t="shared" si="9"/>
        <v>0</v>
      </c>
      <c r="BL32" s="387">
        <f t="shared" si="32"/>
        <v>1238.4418524000002</v>
      </c>
      <c r="BM32" s="387">
        <f t="shared" si="33"/>
        <v>0</v>
      </c>
      <c r="BN32" s="387">
        <f t="shared" si="10"/>
        <v>1281.5</v>
      </c>
      <c r="BO32" s="387">
        <f t="shared" si="11"/>
        <v>0</v>
      </c>
      <c r="BP32" s="387">
        <f t="shared" si="12"/>
        <v>341.30504000000002</v>
      </c>
      <c r="BQ32" s="387">
        <f t="shared" si="13"/>
        <v>79.821340000000006</v>
      </c>
      <c r="BR32" s="387">
        <f t="shared" si="14"/>
        <v>657.28744800000004</v>
      </c>
      <c r="BS32" s="387">
        <f t="shared" si="15"/>
        <v>39.6904732</v>
      </c>
      <c r="BT32" s="387">
        <f t="shared" si="16"/>
        <v>0</v>
      </c>
      <c r="BU32" s="387">
        <f t="shared" si="17"/>
        <v>16.845055199999997</v>
      </c>
      <c r="BV32" s="387">
        <f t="shared" si="18"/>
        <v>76.518388000000002</v>
      </c>
      <c r="BW32" s="387">
        <f t="shared" si="19"/>
        <v>0</v>
      </c>
      <c r="BX32" s="387">
        <f t="shared" si="34"/>
        <v>1211.4677444000001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-26.974108000000001</v>
      </c>
      <c r="CG32" s="387">
        <f t="shared" si="24"/>
        <v>0</v>
      </c>
      <c r="CH32" s="387">
        <f t="shared" si="25"/>
        <v>0</v>
      </c>
      <c r="CI32" s="387">
        <f t="shared" si="26"/>
        <v>0</v>
      </c>
      <c r="CJ32" s="387">
        <f t="shared" si="39"/>
        <v>-26.974108000000001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0519-00</v>
      </c>
    </row>
    <row r="33" spans="1:92" ht="15.75" thickBot="1" x14ac:dyDescent="0.3">
      <c r="A33" s="376" t="s">
        <v>161</v>
      </c>
      <c r="B33" s="376" t="s">
        <v>162</v>
      </c>
      <c r="C33" s="376" t="s">
        <v>194</v>
      </c>
      <c r="D33" s="376" t="s">
        <v>195</v>
      </c>
      <c r="E33" s="376" t="s">
        <v>264</v>
      </c>
      <c r="F33" s="377" t="s">
        <v>166</v>
      </c>
      <c r="G33" s="376" t="s">
        <v>167</v>
      </c>
      <c r="H33" s="378"/>
      <c r="I33" s="378"/>
      <c r="J33" s="376" t="s">
        <v>196</v>
      </c>
      <c r="K33" s="376" t="s">
        <v>197</v>
      </c>
      <c r="L33" s="376" t="s">
        <v>166</v>
      </c>
      <c r="M33" s="376" t="s">
        <v>171</v>
      </c>
      <c r="N33" s="376" t="s">
        <v>198</v>
      </c>
      <c r="O33" s="379">
        <v>1</v>
      </c>
      <c r="P33" s="385">
        <v>0.02</v>
      </c>
      <c r="Q33" s="385">
        <v>0.02</v>
      </c>
      <c r="R33" s="380">
        <v>80</v>
      </c>
      <c r="S33" s="385">
        <v>0.02</v>
      </c>
      <c r="T33" s="380">
        <v>2472.31</v>
      </c>
      <c r="U33" s="380">
        <v>0</v>
      </c>
      <c r="V33" s="380">
        <v>717.08</v>
      </c>
      <c r="W33" s="380">
        <v>2645.34</v>
      </c>
      <c r="X33" s="380">
        <v>807.06</v>
      </c>
      <c r="Y33" s="380">
        <v>2645.34</v>
      </c>
      <c r="Z33" s="380">
        <v>807.06</v>
      </c>
      <c r="AA33" s="376" t="s">
        <v>199</v>
      </c>
      <c r="AB33" s="376" t="s">
        <v>200</v>
      </c>
      <c r="AC33" s="376" t="s">
        <v>201</v>
      </c>
      <c r="AD33" s="376" t="s">
        <v>202</v>
      </c>
      <c r="AE33" s="376" t="s">
        <v>197</v>
      </c>
      <c r="AF33" s="376" t="s">
        <v>203</v>
      </c>
      <c r="AG33" s="376" t="s">
        <v>178</v>
      </c>
      <c r="AH33" s="381">
        <v>63.59</v>
      </c>
      <c r="AI33" s="379">
        <v>24698</v>
      </c>
      <c r="AJ33" s="376" t="s">
        <v>179</v>
      </c>
      <c r="AK33" s="376" t="s">
        <v>180</v>
      </c>
      <c r="AL33" s="376" t="s">
        <v>181</v>
      </c>
      <c r="AM33" s="376" t="s">
        <v>181</v>
      </c>
      <c r="AN33" s="376" t="s">
        <v>68</v>
      </c>
      <c r="AO33" s="379">
        <v>80</v>
      </c>
      <c r="AP33" s="385">
        <v>1</v>
      </c>
      <c r="AQ33" s="385">
        <v>0.02</v>
      </c>
      <c r="AR33" s="383" t="s">
        <v>183</v>
      </c>
      <c r="AS33" s="387">
        <f t="shared" si="27"/>
        <v>0.02</v>
      </c>
      <c r="AT33">
        <f t="shared" si="28"/>
        <v>1</v>
      </c>
      <c r="AU33" s="387">
        <f>IF(AT33=0,"",IF(AND(AT33=1,M33="F",SUMIF(C2:C206,C33,AS2:AS206)&lt;=1),SUMIF(C2:C206,C33,AS2:AS206),IF(AND(AT33=1,M33="F",SUMIF(C2:C206,C33,AS2:AS206)&gt;1),1,"")))</f>
        <v>1</v>
      </c>
      <c r="AV33" s="387" t="str">
        <f>IF(AT33=0,"",IF(AND(AT33=3,M33="F",SUMIF(C2:C206,C33,AS2:AS206)&lt;=1),SUMIF(C2:C206,C33,AS2:AS206),IF(AND(AT33=3,M33="F",SUMIF(C2:C206,C33,AS2:AS206)&gt;1),1,"")))</f>
        <v/>
      </c>
      <c r="AW33" s="387">
        <f>SUMIF(C2:C206,C33,O2:O206)</f>
        <v>7</v>
      </c>
      <c r="AX33" s="387">
        <f>IF(AND(M33="F",AS33&lt;&gt;0),SUMIF(C2:C206,C33,W2:W206),0)</f>
        <v>132267.19</v>
      </c>
      <c r="AY33" s="387">
        <f t="shared" si="29"/>
        <v>2645.34</v>
      </c>
      <c r="AZ33" s="387" t="str">
        <f t="shared" si="30"/>
        <v/>
      </c>
      <c r="BA33" s="387">
        <f t="shared" si="31"/>
        <v>0</v>
      </c>
      <c r="BB33" s="387">
        <f t="shared" si="0"/>
        <v>233</v>
      </c>
      <c r="BC33" s="387">
        <f t="shared" si="1"/>
        <v>0</v>
      </c>
      <c r="BD33" s="387">
        <f t="shared" si="2"/>
        <v>164.01108000000002</v>
      </c>
      <c r="BE33" s="387">
        <f t="shared" si="3"/>
        <v>38.357430000000001</v>
      </c>
      <c r="BF33" s="387">
        <f t="shared" si="4"/>
        <v>315.85359600000004</v>
      </c>
      <c r="BG33" s="387">
        <f t="shared" si="5"/>
        <v>19.072901400000003</v>
      </c>
      <c r="BH33" s="387">
        <f t="shared" si="6"/>
        <v>0</v>
      </c>
      <c r="BI33" s="387">
        <f t="shared" si="7"/>
        <v>0</v>
      </c>
      <c r="BJ33" s="387">
        <f t="shared" si="8"/>
        <v>36.770226000000001</v>
      </c>
      <c r="BK33" s="387">
        <f t="shared" si="9"/>
        <v>0</v>
      </c>
      <c r="BL33" s="387">
        <f t="shared" si="32"/>
        <v>574.06523340000001</v>
      </c>
      <c r="BM33" s="387">
        <f t="shared" si="33"/>
        <v>0</v>
      </c>
      <c r="BN33" s="387">
        <f t="shared" si="10"/>
        <v>233</v>
      </c>
      <c r="BO33" s="387">
        <f t="shared" si="11"/>
        <v>0</v>
      </c>
      <c r="BP33" s="387">
        <f t="shared" si="12"/>
        <v>164.01108000000002</v>
      </c>
      <c r="BQ33" s="387">
        <f t="shared" si="13"/>
        <v>38.357430000000001</v>
      </c>
      <c r="BR33" s="387">
        <f t="shared" si="14"/>
        <v>315.85359600000004</v>
      </c>
      <c r="BS33" s="387">
        <f t="shared" si="15"/>
        <v>19.072901400000003</v>
      </c>
      <c r="BT33" s="387">
        <f t="shared" si="16"/>
        <v>0</v>
      </c>
      <c r="BU33" s="387">
        <f t="shared" si="17"/>
        <v>0</v>
      </c>
      <c r="BV33" s="387">
        <f t="shared" si="18"/>
        <v>36.770226000000001</v>
      </c>
      <c r="BW33" s="387">
        <f t="shared" si="19"/>
        <v>0</v>
      </c>
      <c r="BX33" s="387">
        <f t="shared" si="34"/>
        <v>574.06523340000001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0519-00</v>
      </c>
    </row>
    <row r="34" spans="1:92" ht="15.75" thickBot="1" x14ac:dyDescent="0.3">
      <c r="A34" s="376" t="s">
        <v>161</v>
      </c>
      <c r="B34" s="376" t="s">
        <v>162</v>
      </c>
      <c r="C34" s="376" t="s">
        <v>243</v>
      </c>
      <c r="D34" s="376" t="s">
        <v>244</v>
      </c>
      <c r="E34" s="376" t="s">
        <v>264</v>
      </c>
      <c r="F34" s="377" t="s">
        <v>166</v>
      </c>
      <c r="G34" s="376" t="s">
        <v>167</v>
      </c>
      <c r="H34" s="378"/>
      <c r="I34" s="378"/>
      <c r="J34" s="376" t="s">
        <v>219</v>
      </c>
      <c r="K34" s="376" t="s">
        <v>245</v>
      </c>
      <c r="L34" s="376" t="s">
        <v>178</v>
      </c>
      <c r="M34" s="376" t="s">
        <v>171</v>
      </c>
      <c r="N34" s="376" t="s">
        <v>172</v>
      </c>
      <c r="O34" s="379">
        <v>1</v>
      </c>
      <c r="P34" s="385">
        <v>0.05</v>
      </c>
      <c r="Q34" s="385">
        <v>0.05</v>
      </c>
      <c r="R34" s="380">
        <v>80</v>
      </c>
      <c r="S34" s="385">
        <v>0.05</v>
      </c>
      <c r="T34" s="380">
        <v>1476.86</v>
      </c>
      <c r="U34" s="380">
        <v>0</v>
      </c>
      <c r="V34" s="380">
        <v>768.77</v>
      </c>
      <c r="W34" s="380">
        <v>1676.48</v>
      </c>
      <c r="X34" s="380">
        <v>959.65</v>
      </c>
      <c r="Y34" s="380">
        <v>1676.48</v>
      </c>
      <c r="Z34" s="380">
        <v>951.44</v>
      </c>
      <c r="AA34" s="376" t="s">
        <v>246</v>
      </c>
      <c r="AB34" s="376" t="s">
        <v>247</v>
      </c>
      <c r="AC34" s="376" t="s">
        <v>248</v>
      </c>
      <c r="AD34" s="376" t="s">
        <v>249</v>
      </c>
      <c r="AE34" s="376" t="s">
        <v>245</v>
      </c>
      <c r="AF34" s="376" t="s">
        <v>250</v>
      </c>
      <c r="AG34" s="376" t="s">
        <v>178</v>
      </c>
      <c r="AH34" s="381">
        <v>16.12</v>
      </c>
      <c r="AI34" s="379">
        <v>1600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68</v>
      </c>
      <c r="AO34" s="379">
        <v>80</v>
      </c>
      <c r="AP34" s="385">
        <v>1</v>
      </c>
      <c r="AQ34" s="385">
        <v>0.05</v>
      </c>
      <c r="AR34" s="383" t="s">
        <v>183</v>
      </c>
      <c r="AS34" s="387">
        <f t="shared" si="27"/>
        <v>0.05</v>
      </c>
      <c r="AT34">
        <f t="shared" si="28"/>
        <v>1</v>
      </c>
      <c r="AU34" s="387">
        <f>IF(AT34=0,"",IF(AND(AT34=1,M34="F",SUMIF(C2:C206,C34,AS2:AS206)&lt;=1),SUMIF(C2:C206,C34,AS2:AS206),IF(AND(AT34=1,M34="F",SUMIF(C2:C206,C34,AS2:AS206)&gt;1),1,"")))</f>
        <v>1</v>
      </c>
      <c r="AV34" s="387" t="str">
        <f>IF(AT34=0,"",IF(AND(AT34=3,M34="F",SUMIF(C2:C206,C34,AS2:AS206)&lt;=1),SUMIF(C2:C206,C34,AS2:AS206),IF(AND(AT34=3,M34="F",SUMIF(C2:C206,C34,AS2:AS206)&gt;1),1,"")))</f>
        <v/>
      </c>
      <c r="AW34" s="387">
        <f>SUMIF(C2:C206,C34,O2:O206)</f>
        <v>5</v>
      </c>
      <c r="AX34" s="387">
        <f>IF(AND(M34="F",AS34&lt;&gt;0),SUMIF(C2:C206,C34,W2:W206),0)</f>
        <v>33529.589999999997</v>
      </c>
      <c r="AY34" s="387">
        <f t="shared" si="29"/>
        <v>1676.48</v>
      </c>
      <c r="AZ34" s="387" t="str">
        <f t="shared" si="30"/>
        <v/>
      </c>
      <c r="BA34" s="387">
        <f t="shared" si="31"/>
        <v>0</v>
      </c>
      <c r="BB34" s="387">
        <f t="shared" si="0"/>
        <v>582.5</v>
      </c>
      <c r="BC34" s="387">
        <f t="shared" si="1"/>
        <v>0</v>
      </c>
      <c r="BD34" s="387">
        <f t="shared" si="2"/>
        <v>103.94176</v>
      </c>
      <c r="BE34" s="387">
        <f t="shared" si="3"/>
        <v>24.308960000000003</v>
      </c>
      <c r="BF34" s="387">
        <f t="shared" si="4"/>
        <v>200.17171200000001</v>
      </c>
      <c r="BG34" s="387">
        <f t="shared" si="5"/>
        <v>12.0874208</v>
      </c>
      <c r="BH34" s="387">
        <f t="shared" si="6"/>
        <v>8.2147519999999989</v>
      </c>
      <c r="BI34" s="387">
        <f t="shared" si="7"/>
        <v>5.1300287999999998</v>
      </c>
      <c r="BJ34" s="387">
        <f t="shared" si="8"/>
        <v>23.303072</v>
      </c>
      <c r="BK34" s="387">
        <f t="shared" si="9"/>
        <v>0</v>
      </c>
      <c r="BL34" s="387">
        <f t="shared" si="32"/>
        <v>377.15770559999999</v>
      </c>
      <c r="BM34" s="387">
        <f t="shared" si="33"/>
        <v>0</v>
      </c>
      <c r="BN34" s="387">
        <f t="shared" si="10"/>
        <v>582.5</v>
      </c>
      <c r="BO34" s="387">
        <f t="shared" si="11"/>
        <v>0</v>
      </c>
      <c r="BP34" s="387">
        <f t="shared" si="12"/>
        <v>103.94176</v>
      </c>
      <c r="BQ34" s="387">
        <f t="shared" si="13"/>
        <v>24.308960000000003</v>
      </c>
      <c r="BR34" s="387">
        <f t="shared" si="14"/>
        <v>200.17171200000001</v>
      </c>
      <c r="BS34" s="387">
        <f t="shared" si="15"/>
        <v>12.0874208</v>
      </c>
      <c r="BT34" s="387">
        <f t="shared" si="16"/>
        <v>0</v>
      </c>
      <c r="BU34" s="387">
        <f t="shared" si="17"/>
        <v>5.1300287999999998</v>
      </c>
      <c r="BV34" s="387">
        <f t="shared" si="18"/>
        <v>23.303072</v>
      </c>
      <c r="BW34" s="387">
        <f t="shared" si="19"/>
        <v>0</v>
      </c>
      <c r="BX34" s="387">
        <f t="shared" si="34"/>
        <v>368.94295360000001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-8.2147519999999989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-8.2147519999999989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0519-00</v>
      </c>
    </row>
    <row r="35" spans="1:92" ht="15.75" thickBot="1" x14ac:dyDescent="0.3">
      <c r="A35" s="376" t="s">
        <v>161</v>
      </c>
      <c r="B35" s="376" t="s">
        <v>162</v>
      </c>
      <c r="C35" s="376" t="s">
        <v>217</v>
      </c>
      <c r="D35" s="376" t="s">
        <v>218</v>
      </c>
      <c r="E35" s="376" t="s">
        <v>264</v>
      </c>
      <c r="F35" s="377" t="s">
        <v>166</v>
      </c>
      <c r="G35" s="376" t="s">
        <v>167</v>
      </c>
      <c r="H35" s="378"/>
      <c r="I35" s="378"/>
      <c r="J35" s="376" t="s">
        <v>219</v>
      </c>
      <c r="K35" s="376" t="s">
        <v>220</v>
      </c>
      <c r="L35" s="376" t="s">
        <v>188</v>
      </c>
      <c r="M35" s="376" t="s">
        <v>207</v>
      </c>
      <c r="N35" s="376" t="s">
        <v>172</v>
      </c>
      <c r="O35" s="379">
        <v>0</v>
      </c>
      <c r="P35" s="385">
        <v>0.05</v>
      </c>
      <c r="Q35" s="385">
        <v>0.05</v>
      </c>
      <c r="R35" s="380">
        <v>80</v>
      </c>
      <c r="S35" s="385">
        <v>0.05</v>
      </c>
      <c r="T35" s="380">
        <v>237.28</v>
      </c>
      <c r="U35" s="380">
        <v>0</v>
      </c>
      <c r="V35" s="380">
        <v>96.27</v>
      </c>
      <c r="W35" s="380">
        <v>2370.16</v>
      </c>
      <c r="X35" s="380">
        <v>1038.1300000000001</v>
      </c>
      <c r="Y35" s="380">
        <v>2370.16</v>
      </c>
      <c r="Z35" s="380">
        <v>1026.27</v>
      </c>
      <c r="AA35" s="378"/>
      <c r="AB35" s="376" t="s">
        <v>45</v>
      </c>
      <c r="AC35" s="376" t="s">
        <v>45</v>
      </c>
      <c r="AD35" s="378"/>
      <c r="AE35" s="378"/>
      <c r="AF35" s="378"/>
      <c r="AG35" s="378"/>
      <c r="AH35" s="379">
        <v>0</v>
      </c>
      <c r="AI35" s="379">
        <v>0</v>
      </c>
      <c r="AJ35" s="378"/>
      <c r="AK35" s="378"/>
      <c r="AL35" s="376" t="s">
        <v>181</v>
      </c>
      <c r="AM35" s="378"/>
      <c r="AN35" s="378"/>
      <c r="AO35" s="379">
        <v>0</v>
      </c>
      <c r="AP35" s="385">
        <v>0</v>
      </c>
      <c r="AQ35" s="385">
        <v>0</v>
      </c>
      <c r="AR35" s="384"/>
      <c r="AS35" s="387">
        <f t="shared" si="27"/>
        <v>0</v>
      </c>
      <c r="AT35">
        <f t="shared" si="28"/>
        <v>0</v>
      </c>
      <c r="AU35" s="387" t="str">
        <f>IF(AT35=0,"",IF(AND(AT35=1,M35="F",SUMIF(C2:C206,C35,AS2:AS206)&lt;=1),SUMIF(C2:C206,C35,AS2:AS206),IF(AND(AT35=1,M35="F",SUMIF(C2:C206,C35,AS2:AS206)&gt;1),1,"")))</f>
        <v/>
      </c>
      <c r="AV35" s="387" t="str">
        <f>IF(AT35=0,"",IF(AND(AT35=3,M35="F",SUMIF(C2:C206,C35,AS2:AS206)&lt;=1),SUMIF(C2:C206,C35,AS2:AS206),IF(AND(AT35=3,M35="F",SUMIF(C2:C206,C35,AS2:AS206)&gt;1),1,"")))</f>
        <v/>
      </c>
      <c r="AW35" s="387">
        <f>SUMIF(C2:C206,C35,O2:O206)</f>
        <v>0</v>
      </c>
      <c r="AX35" s="387">
        <f>IF(AND(M35="F",AS35&lt;&gt;0),SUMIF(C2:C206,C35,W2:W206),0)</f>
        <v>0</v>
      </c>
      <c r="AY35" s="387" t="str">
        <f t="shared" si="29"/>
        <v/>
      </c>
      <c r="AZ35" s="387" t="str">
        <f t="shared" si="30"/>
        <v/>
      </c>
      <c r="BA35" s="387">
        <f t="shared" si="31"/>
        <v>0</v>
      </c>
      <c r="BB35" s="387">
        <f t="shared" si="0"/>
        <v>0</v>
      </c>
      <c r="BC35" s="387">
        <f t="shared" si="1"/>
        <v>0</v>
      </c>
      <c r="BD35" s="387">
        <f t="shared" si="2"/>
        <v>0</v>
      </c>
      <c r="BE35" s="387">
        <f t="shared" si="3"/>
        <v>0</v>
      </c>
      <c r="BF35" s="387">
        <f t="shared" si="4"/>
        <v>0</v>
      </c>
      <c r="BG35" s="387">
        <f t="shared" si="5"/>
        <v>0</v>
      </c>
      <c r="BH35" s="387">
        <f t="shared" si="6"/>
        <v>0</v>
      </c>
      <c r="BI35" s="387">
        <f t="shared" si="7"/>
        <v>0</v>
      </c>
      <c r="BJ35" s="387">
        <f t="shared" si="8"/>
        <v>0</v>
      </c>
      <c r="BK35" s="387">
        <f t="shared" si="9"/>
        <v>0</v>
      </c>
      <c r="BL35" s="387">
        <f t="shared" si="32"/>
        <v>0</v>
      </c>
      <c r="BM35" s="387">
        <f t="shared" si="33"/>
        <v>0</v>
      </c>
      <c r="BN35" s="387">
        <f t="shared" si="10"/>
        <v>0</v>
      </c>
      <c r="BO35" s="387">
        <f t="shared" si="11"/>
        <v>0</v>
      </c>
      <c r="BP35" s="387">
        <f t="shared" si="12"/>
        <v>0</v>
      </c>
      <c r="BQ35" s="387">
        <f t="shared" si="13"/>
        <v>0</v>
      </c>
      <c r="BR35" s="387">
        <f t="shared" si="14"/>
        <v>0</v>
      </c>
      <c r="BS35" s="387">
        <f t="shared" si="15"/>
        <v>0</v>
      </c>
      <c r="BT35" s="387">
        <f t="shared" si="16"/>
        <v>0</v>
      </c>
      <c r="BU35" s="387">
        <f t="shared" si="17"/>
        <v>0</v>
      </c>
      <c r="BV35" s="387">
        <f t="shared" si="18"/>
        <v>0</v>
      </c>
      <c r="BW35" s="387">
        <f t="shared" si="19"/>
        <v>0</v>
      </c>
      <c r="BX35" s="387">
        <f t="shared" si="34"/>
        <v>0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0</v>
      </c>
      <c r="CE35" s="387">
        <f t="shared" si="22"/>
        <v>0</v>
      </c>
      <c r="CF35" s="387">
        <f t="shared" si="23"/>
        <v>0</v>
      </c>
      <c r="CG35" s="387">
        <f t="shared" si="24"/>
        <v>0</v>
      </c>
      <c r="CH35" s="387">
        <f t="shared" si="25"/>
        <v>0</v>
      </c>
      <c r="CI35" s="387">
        <f t="shared" si="26"/>
        <v>0</v>
      </c>
      <c r="CJ35" s="387">
        <f t="shared" si="39"/>
        <v>0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0519-00</v>
      </c>
    </row>
    <row r="36" spans="1:92" ht="15.75" thickBot="1" x14ac:dyDescent="0.3">
      <c r="A36" s="376" t="s">
        <v>161</v>
      </c>
      <c r="B36" s="376" t="s">
        <v>162</v>
      </c>
      <c r="C36" s="376" t="s">
        <v>265</v>
      </c>
      <c r="D36" s="376" t="s">
        <v>266</v>
      </c>
      <c r="E36" s="376" t="s">
        <v>216</v>
      </c>
      <c r="F36" s="377" t="s">
        <v>166</v>
      </c>
      <c r="G36" s="376" t="s">
        <v>267</v>
      </c>
      <c r="H36" s="378"/>
      <c r="I36" s="378"/>
      <c r="J36" s="376" t="s">
        <v>186</v>
      </c>
      <c r="K36" s="376" t="s">
        <v>268</v>
      </c>
      <c r="L36" s="376" t="s">
        <v>269</v>
      </c>
      <c r="M36" s="376" t="s">
        <v>171</v>
      </c>
      <c r="N36" s="376" t="s">
        <v>172</v>
      </c>
      <c r="O36" s="379">
        <v>1</v>
      </c>
      <c r="P36" s="385">
        <v>1</v>
      </c>
      <c r="Q36" s="385">
        <v>1</v>
      </c>
      <c r="R36" s="380">
        <v>80</v>
      </c>
      <c r="S36" s="385">
        <v>1</v>
      </c>
      <c r="T36" s="380">
        <v>42016.800000000003</v>
      </c>
      <c r="U36" s="380">
        <v>0</v>
      </c>
      <c r="V36" s="380">
        <v>21786.880000000001</v>
      </c>
      <c r="W36" s="380">
        <v>44345.599999999999</v>
      </c>
      <c r="X36" s="380">
        <v>21626.400000000001</v>
      </c>
      <c r="Y36" s="380">
        <v>44345.599999999999</v>
      </c>
      <c r="Z36" s="380">
        <v>21409.11</v>
      </c>
      <c r="AA36" s="376" t="s">
        <v>270</v>
      </c>
      <c r="AB36" s="376" t="s">
        <v>271</v>
      </c>
      <c r="AC36" s="376" t="s">
        <v>272</v>
      </c>
      <c r="AD36" s="376" t="s">
        <v>273</v>
      </c>
      <c r="AE36" s="376" t="s">
        <v>268</v>
      </c>
      <c r="AF36" s="376" t="s">
        <v>274</v>
      </c>
      <c r="AG36" s="376" t="s">
        <v>178</v>
      </c>
      <c r="AH36" s="381">
        <v>21.32</v>
      </c>
      <c r="AI36" s="379">
        <v>2120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68</v>
      </c>
      <c r="AO36" s="379">
        <v>80</v>
      </c>
      <c r="AP36" s="385">
        <v>1</v>
      </c>
      <c r="AQ36" s="385">
        <v>1</v>
      </c>
      <c r="AR36" s="383" t="s">
        <v>183</v>
      </c>
      <c r="AS36" s="387">
        <f t="shared" si="27"/>
        <v>1</v>
      </c>
      <c r="AT36">
        <f t="shared" si="28"/>
        <v>1</v>
      </c>
      <c r="AU36" s="387">
        <f>IF(AT36=0,"",IF(AND(AT36=1,M36="F",SUMIF(C2:C206,C36,AS2:AS206)&lt;=1),SUMIF(C2:C206,C36,AS2:AS206),IF(AND(AT36=1,M36="F",SUMIF(C2:C206,C36,AS2:AS206)&gt;1),1,"")))</f>
        <v>1</v>
      </c>
      <c r="AV36" s="387" t="str">
        <f>IF(AT36=0,"",IF(AND(AT36=3,M36="F",SUMIF(C2:C206,C36,AS2:AS206)&lt;=1),SUMIF(C2:C206,C36,AS2:AS206),IF(AND(AT36=3,M36="F",SUMIF(C2:C206,C36,AS2:AS206)&gt;1),1,"")))</f>
        <v/>
      </c>
      <c r="AW36" s="387">
        <f>SUMIF(C2:C206,C36,O2:O206)</f>
        <v>1</v>
      </c>
      <c r="AX36" s="387">
        <f>IF(AND(M36="F",AS36&lt;&gt;0),SUMIF(C2:C206,C36,W2:W206),0)</f>
        <v>44345.599999999999</v>
      </c>
      <c r="AY36" s="387">
        <f t="shared" si="29"/>
        <v>44345.599999999999</v>
      </c>
      <c r="AZ36" s="387" t="str">
        <f t="shared" si="30"/>
        <v/>
      </c>
      <c r="BA36" s="387">
        <f t="shared" si="31"/>
        <v>0</v>
      </c>
      <c r="BB36" s="387">
        <f t="shared" si="0"/>
        <v>11650</v>
      </c>
      <c r="BC36" s="387">
        <f t="shared" si="1"/>
        <v>0</v>
      </c>
      <c r="BD36" s="387">
        <f t="shared" si="2"/>
        <v>2749.4272000000001</v>
      </c>
      <c r="BE36" s="387">
        <f t="shared" si="3"/>
        <v>643.01120000000003</v>
      </c>
      <c r="BF36" s="387">
        <f t="shared" si="4"/>
        <v>5294.8646399999998</v>
      </c>
      <c r="BG36" s="387">
        <f t="shared" si="5"/>
        <v>319.73177600000002</v>
      </c>
      <c r="BH36" s="387">
        <f t="shared" si="6"/>
        <v>217.29343999999998</v>
      </c>
      <c r="BI36" s="387">
        <f t="shared" si="7"/>
        <v>135.69753599999999</v>
      </c>
      <c r="BJ36" s="387">
        <f t="shared" si="8"/>
        <v>616.40383999999995</v>
      </c>
      <c r="BK36" s="387">
        <f t="shared" si="9"/>
        <v>0</v>
      </c>
      <c r="BL36" s="387">
        <f t="shared" si="32"/>
        <v>9976.4296319999994</v>
      </c>
      <c r="BM36" s="387">
        <f t="shared" si="33"/>
        <v>0</v>
      </c>
      <c r="BN36" s="387">
        <f t="shared" si="10"/>
        <v>11650</v>
      </c>
      <c r="BO36" s="387">
        <f t="shared" si="11"/>
        <v>0</v>
      </c>
      <c r="BP36" s="387">
        <f t="shared" si="12"/>
        <v>2749.4272000000001</v>
      </c>
      <c r="BQ36" s="387">
        <f t="shared" si="13"/>
        <v>643.01120000000003</v>
      </c>
      <c r="BR36" s="387">
        <f t="shared" si="14"/>
        <v>5294.8646399999998</v>
      </c>
      <c r="BS36" s="387">
        <f t="shared" si="15"/>
        <v>319.73177600000002</v>
      </c>
      <c r="BT36" s="387">
        <f t="shared" si="16"/>
        <v>0</v>
      </c>
      <c r="BU36" s="387">
        <f t="shared" si="17"/>
        <v>135.69753599999999</v>
      </c>
      <c r="BV36" s="387">
        <f t="shared" si="18"/>
        <v>616.40383999999995</v>
      </c>
      <c r="BW36" s="387">
        <f t="shared" si="19"/>
        <v>0</v>
      </c>
      <c r="BX36" s="387">
        <f t="shared" si="34"/>
        <v>9759.1361919999981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0</v>
      </c>
      <c r="CE36" s="387">
        <f t="shared" si="22"/>
        <v>0</v>
      </c>
      <c r="CF36" s="387">
        <f t="shared" si="23"/>
        <v>-217.29343999999998</v>
      </c>
      <c r="CG36" s="387">
        <f t="shared" si="24"/>
        <v>0</v>
      </c>
      <c r="CH36" s="387">
        <f t="shared" si="25"/>
        <v>0</v>
      </c>
      <c r="CI36" s="387">
        <f t="shared" si="26"/>
        <v>0</v>
      </c>
      <c r="CJ36" s="387">
        <f t="shared" si="39"/>
        <v>-217.29343999999998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0365-00</v>
      </c>
    </row>
    <row r="37" spans="1:92" ht="15.75" thickBot="1" x14ac:dyDescent="0.3">
      <c r="A37" s="376" t="s">
        <v>161</v>
      </c>
      <c r="B37" s="376" t="s">
        <v>162</v>
      </c>
      <c r="C37" s="376" t="s">
        <v>275</v>
      </c>
      <c r="D37" s="376" t="s">
        <v>266</v>
      </c>
      <c r="E37" s="376" t="s">
        <v>216</v>
      </c>
      <c r="F37" s="377" t="s">
        <v>166</v>
      </c>
      <c r="G37" s="376" t="s">
        <v>267</v>
      </c>
      <c r="H37" s="378"/>
      <c r="I37" s="378"/>
      <c r="J37" s="376" t="s">
        <v>186</v>
      </c>
      <c r="K37" s="376" t="s">
        <v>268</v>
      </c>
      <c r="L37" s="376" t="s">
        <v>269</v>
      </c>
      <c r="M37" s="376" t="s">
        <v>171</v>
      </c>
      <c r="N37" s="376" t="s">
        <v>172</v>
      </c>
      <c r="O37" s="379">
        <v>1</v>
      </c>
      <c r="P37" s="385">
        <v>1</v>
      </c>
      <c r="Q37" s="385">
        <v>1</v>
      </c>
      <c r="R37" s="380">
        <v>80</v>
      </c>
      <c r="S37" s="385">
        <v>1</v>
      </c>
      <c r="T37" s="380">
        <v>30602.799999999999</v>
      </c>
      <c r="U37" s="380">
        <v>0</v>
      </c>
      <c r="V37" s="380">
        <v>14222.08</v>
      </c>
      <c r="W37" s="380">
        <v>44200</v>
      </c>
      <c r="X37" s="380">
        <v>21593.67</v>
      </c>
      <c r="Y37" s="380">
        <v>44200</v>
      </c>
      <c r="Z37" s="380">
        <v>21377.09</v>
      </c>
      <c r="AA37" s="376" t="s">
        <v>276</v>
      </c>
      <c r="AB37" s="376" t="s">
        <v>277</v>
      </c>
      <c r="AC37" s="376" t="s">
        <v>278</v>
      </c>
      <c r="AD37" s="376" t="s">
        <v>279</v>
      </c>
      <c r="AE37" s="376" t="s">
        <v>268</v>
      </c>
      <c r="AF37" s="376" t="s">
        <v>274</v>
      </c>
      <c r="AG37" s="376" t="s">
        <v>178</v>
      </c>
      <c r="AH37" s="381">
        <v>21.25</v>
      </c>
      <c r="AI37" s="379">
        <v>963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68</v>
      </c>
      <c r="AO37" s="379">
        <v>80</v>
      </c>
      <c r="AP37" s="385">
        <v>1</v>
      </c>
      <c r="AQ37" s="385">
        <v>1</v>
      </c>
      <c r="AR37" s="383" t="s">
        <v>183</v>
      </c>
      <c r="AS37" s="387">
        <f t="shared" si="27"/>
        <v>1</v>
      </c>
      <c r="AT37">
        <f t="shared" si="28"/>
        <v>1</v>
      </c>
      <c r="AU37" s="387">
        <f>IF(AT37=0,"",IF(AND(AT37=1,M37="F",SUMIF(C2:C206,C37,AS2:AS206)&lt;=1),SUMIF(C2:C206,C37,AS2:AS206),IF(AND(AT37=1,M37="F",SUMIF(C2:C206,C37,AS2:AS206)&gt;1),1,"")))</f>
        <v>1</v>
      </c>
      <c r="AV37" s="387" t="str">
        <f>IF(AT37=0,"",IF(AND(AT37=3,M37="F",SUMIF(C2:C206,C37,AS2:AS206)&lt;=1),SUMIF(C2:C206,C37,AS2:AS206),IF(AND(AT37=3,M37="F",SUMIF(C2:C206,C37,AS2:AS206)&gt;1),1,"")))</f>
        <v/>
      </c>
      <c r="AW37" s="387">
        <f>SUMIF(C2:C206,C37,O2:O206)</f>
        <v>1</v>
      </c>
      <c r="AX37" s="387">
        <f>IF(AND(M37="F",AS37&lt;&gt;0),SUMIF(C2:C206,C37,W2:W206),0)</f>
        <v>44200</v>
      </c>
      <c r="AY37" s="387">
        <f t="shared" si="29"/>
        <v>44200</v>
      </c>
      <c r="AZ37" s="387" t="str">
        <f t="shared" si="30"/>
        <v/>
      </c>
      <c r="BA37" s="387">
        <f t="shared" si="31"/>
        <v>0</v>
      </c>
      <c r="BB37" s="387">
        <f t="shared" si="0"/>
        <v>11650</v>
      </c>
      <c r="BC37" s="387">
        <f t="shared" si="1"/>
        <v>0</v>
      </c>
      <c r="BD37" s="387">
        <f t="shared" si="2"/>
        <v>2740.4</v>
      </c>
      <c r="BE37" s="387">
        <f t="shared" si="3"/>
        <v>640.9</v>
      </c>
      <c r="BF37" s="387">
        <f t="shared" si="4"/>
        <v>5277.4800000000005</v>
      </c>
      <c r="BG37" s="387">
        <f t="shared" si="5"/>
        <v>318.68200000000002</v>
      </c>
      <c r="BH37" s="387">
        <f t="shared" si="6"/>
        <v>216.57999999999998</v>
      </c>
      <c r="BI37" s="387">
        <f t="shared" si="7"/>
        <v>135.25199999999998</v>
      </c>
      <c r="BJ37" s="387">
        <f t="shared" si="8"/>
        <v>614.38</v>
      </c>
      <c r="BK37" s="387">
        <f t="shared" si="9"/>
        <v>0</v>
      </c>
      <c r="BL37" s="387">
        <f t="shared" si="32"/>
        <v>9943.6740000000009</v>
      </c>
      <c r="BM37" s="387">
        <f t="shared" si="33"/>
        <v>0</v>
      </c>
      <c r="BN37" s="387">
        <f t="shared" si="10"/>
        <v>11650</v>
      </c>
      <c r="BO37" s="387">
        <f t="shared" si="11"/>
        <v>0</v>
      </c>
      <c r="BP37" s="387">
        <f t="shared" si="12"/>
        <v>2740.4</v>
      </c>
      <c r="BQ37" s="387">
        <f t="shared" si="13"/>
        <v>640.9</v>
      </c>
      <c r="BR37" s="387">
        <f t="shared" si="14"/>
        <v>5277.4800000000005</v>
      </c>
      <c r="BS37" s="387">
        <f t="shared" si="15"/>
        <v>318.68200000000002</v>
      </c>
      <c r="BT37" s="387">
        <f t="shared" si="16"/>
        <v>0</v>
      </c>
      <c r="BU37" s="387">
        <f t="shared" si="17"/>
        <v>135.25199999999998</v>
      </c>
      <c r="BV37" s="387">
        <f t="shared" si="18"/>
        <v>614.38</v>
      </c>
      <c r="BW37" s="387">
        <f t="shared" si="19"/>
        <v>0</v>
      </c>
      <c r="BX37" s="387">
        <f t="shared" si="34"/>
        <v>9727.094000000001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-216.57999999999998</v>
      </c>
      <c r="CG37" s="387">
        <f t="shared" si="24"/>
        <v>0</v>
      </c>
      <c r="CH37" s="387">
        <f t="shared" si="25"/>
        <v>0</v>
      </c>
      <c r="CI37" s="387">
        <f t="shared" si="26"/>
        <v>0</v>
      </c>
      <c r="CJ37" s="387">
        <f t="shared" si="39"/>
        <v>-216.57999999999998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0365-00</v>
      </c>
    </row>
    <row r="38" spans="1:92" ht="15.75" thickBot="1" x14ac:dyDescent="0.3">
      <c r="A38" s="376" t="s">
        <v>161</v>
      </c>
      <c r="B38" s="376" t="s">
        <v>162</v>
      </c>
      <c r="C38" s="376" t="s">
        <v>280</v>
      </c>
      <c r="D38" s="376" t="s">
        <v>281</v>
      </c>
      <c r="E38" s="376" t="s">
        <v>216</v>
      </c>
      <c r="F38" s="377" t="s">
        <v>166</v>
      </c>
      <c r="G38" s="376" t="s">
        <v>267</v>
      </c>
      <c r="H38" s="378"/>
      <c r="I38" s="378"/>
      <c r="J38" s="376" t="s">
        <v>186</v>
      </c>
      <c r="K38" s="376" t="s">
        <v>282</v>
      </c>
      <c r="L38" s="376" t="s">
        <v>283</v>
      </c>
      <c r="M38" s="376" t="s">
        <v>171</v>
      </c>
      <c r="N38" s="376" t="s">
        <v>172</v>
      </c>
      <c r="O38" s="379">
        <v>1</v>
      </c>
      <c r="P38" s="385">
        <v>1</v>
      </c>
      <c r="Q38" s="385">
        <v>1</v>
      </c>
      <c r="R38" s="380">
        <v>80</v>
      </c>
      <c r="S38" s="385">
        <v>1</v>
      </c>
      <c r="T38" s="380">
        <v>72613.61</v>
      </c>
      <c r="U38" s="380">
        <v>0</v>
      </c>
      <c r="V38" s="380">
        <v>27217.79</v>
      </c>
      <c r="W38" s="380">
        <v>75171.199999999997</v>
      </c>
      <c r="X38" s="380">
        <v>28561.23</v>
      </c>
      <c r="Y38" s="380">
        <v>75171.199999999997</v>
      </c>
      <c r="Z38" s="380">
        <v>28192.9</v>
      </c>
      <c r="AA38" s="376" t="s">
        <v>284</v>
      </c>
      <c r="AB38" s="376" t="s">
        <v>285</v>
      </c>
      <c r="AC38" s="376" t="s">
        <v>286</v>
      </c>
      <c r="AD38" s="376" t="s">
        <v>287</v>
      </c>
      <c r="AE38" s="376" t="s">
        <v>282</v>
      </c>
      <c r="AF38" s="376" t="s">
        <v>288</v>
      </c>
      <c r="AG38" s="376" t="s">
        <v>178</v>
      </c>
      <c r="AH38" s="381">
        <v>36.14</v>
      </c>
      <c r="AI38" s="379">
        <v>42899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68</v>
      </c>
      <c r="AO38" s="379">
        <v>80</v>
      </c>
      <c r="AP38" s="385">
        <v>1</v>
      </c>
      <c r="AQ38" s="385">
        <v>1</v>
      </c>
      <c r="AR38" s="383" t="s">
        <v>183</v>
      </c>
      <c r="AS38" s="387">
        <f t="shared" si="27"/>
        <v>1</v>
      </c>
      <c r="AT38">
        <f t="shared" si="28"/>
        <v>1</v>
      </c>
      <c r="AU38" s="387">
        <f>IF(AT38=0,"",IF(AND(AT38=1,M38="F",SUMIF(C2:C206,C38,AS2:AS206)&lt;=1),SUMIF(C2:C206,C38,AS2:AS206),IF(AND(AT38=1,M38="F",SUMIF(C2:C206,C38,AS2:AS206)&gt;1),1,"")))</f>
        <v>1</v>
      </c>
      <c r="AV38" s="387" t="str">
        <f>IF(AT38=0,"",IF(AND(AT38=3,M38="F",SUMIF(C2:C206,C38,AS2:AS206)&lt;=1),SUMIF(C2:C206,C38,AS2:AS206),IF(AND(AT38=3,M38="F",SUMIF(C2:C206,C38,AS2:AS206)&gt;1),1,"")))</f>
        <v/>
      </c>
      <c r="AW38" s="387">
        <f>SUMIF(C2:C206,C38,O2:O206)</f>
        <v>1</v>
      </c>
      <c r="AX38" s="387">
        <f>IF(AND(M38="F",AS38&lt;&gt;0),SUMIF(C2:C206,C38,W2:W206),0)</f>
        <v>75171.199999999997</v>
      </c>
      <c r="AY38" s="387">
        <f t="shared" si="29"/>
        <v>75171.199999999997</v>
      </c>
      <c r="AZ38" s="387" t="str">
        <f t="shared" si="30"/>
        <v/>
      </c>
      <c r="BA38" s="387">
        <f t="shared" si="31"/>
        <v>0</v>
      </c>
      <c r="BB38" s="387">
        <f t="shared" si="0"/>
        <v>11650</v>
      </c>
      <c r="BC38" s="387">
        <f t="shared" si="1"/>
        <v>0</v>
      </c>
      <c r="BD38" s="387">
        <f t="shared" si="2"/>
        <v>4660.6143999999995</v>
      </c>
      <c r="BE38" s="387">
        <f t="shared" si="3"/>
        <v>1089.9824000000001</v>
      </c>
      <c r="BF38" s="387">
        <f t="shared" si="4"/>
        <v>8975.4412800000009</v>
      </c>
      <c r="BG38" s="387">
        <f t="shared" si="5"/>
        <v>541.98435199999994</v>
      </c>
      <c r="BH38" s="387">
        <f t="shared" si="6"/>
        <v>368.33887999999996</v>
      </c>
      <c r="BI38" s="387">
        <f t="shared" si="7"/>
        <v>230.02387199999998</v>
      </c>
      <c r="BJ38" s="387">
        <f t="shared" si="8"/>
        <v>1044.87968</v>
      </c>
      <c r="BK38" s="387">
        <f t="shared" si="9"/>
        <v>0</v>
      </c>
      <c r="BL38" s="387">
        <f t="shared" si="32"/>
        <v>16911.264863999997</v>
      </c>
      <c r="BM38" s="387">
        <f t="shared" si="33"/>
        <v>0</v>
      </c>
      <c r="BN38" s="387">
        <f t="shared" si="10"/>
        <v>11650</v>
      </c>
      <c r="BO38" s="387">
        <f t="shared" si="11"/>
        <v>0</v>
      </c>
      <c r="BP38" s="387">
        <f t="shared" si="12"/>
        <v>4660.6143999999995</v>
      </c>
      <c r="BQ38" s="387">
        <f t="shared" si="13"/>
        <v>1089.9824000000001</v>
      </c>
      <c r="BR38" s="387">
        <f t="shared" si="14"/>
        <v>8975.4412800000009</v>
      </c>
      <c r="BS38" s="387">
        <f t="shared" si="15"/>
        <v>541.98435199999994</v>
      </c>
      <c r="BT38" s="387">
        <f t="shared" si="16"/>
        <v>0</v>
      </c>
      <c r="BU38" s="387">
        <f t="shared" si="17"/>
        <v>230.02387199999998</v>
      </c>
      <c r="BV38" s="387">
        <f t="shared" si="18"/>
        <v>1044.87968</v>
      </c>
      <c r="BW38" s="387">
        <f t="shared" si="19"/>
        <v>0</v>
      </c>
      <c r="BX38" s="387">
        <f t="shared" si="34"/>
        <v>16542.925984000001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-368.33887999999996</v>
      </c>
      <c r="CG38" s="387">
        <f t="shared" si="24"/>
        <v>0</v>
      </c>
      <c r="CH38" s="387">
        <f t="shared" si="25"/>
        <v>0</v>
      </c>
      <c r="CI38" s="387">
        <f t="shared" si="26"/>
        <v>0</v>
      </c>
      <c r="CJ38" s="387">
        <f t="shared" si="39"/>
        <v>-368.33887999999996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0365-00</v>
      </c>
    </row>
    <row r="39" spans="1:92" ht="15.75" thickBot="1" x14ac:dyDescent="0.3">
      <c r="A39" s="376" t="s">
        <v>161</v>
      </c>
      <c r="B39" s="376" t="s">
        <v>162</v>
      </c>
      <c r="C39" s="376" t="s">
        <v>289</v>
      </c>
      <c r="D39" s="376" t="s">
        <v>266</v>
      </c>
      <c r="E39" s="376" t="s">
        <v>216</v>
      </c>
      <c r="F39" s="377" t="s">
        <v>166</v>
      </c>
      <c r="G39" s="376" t="s">
        <v>267</v>
      </c>
      <c r="H39" s="378"/>
      <c r="I39" s="378"/>
      <c r="J39" s="376" t="s">
        <v>186</v>
      </c>
      <c r="K39" s="376" t="s">
        <v>268</v>
      </c>
      <c r="L39" s="376" t="s">
        <v>269</v>
      </c>
      <c r="M39" s="376" t="s">
        <v>171</v>
      </c>
      <c r="N39" s="376" t="s">
        <v>172</v>
      </c>
      <c r="O39" s="379">
        <v>1</v>
      </c>
      <c r="P39" s="385">
        <v>1</v>
      </c>
      <c r="Q39" s="385">
        <v>1</v>
      </c>
      <c r="R39" s="380">
        <v>80</v>
      </c>
      <c r="S39" s="385">
        <v>1</v>
      </c>
      <c r="T39" s="380">
        <v>48617.4</v>
      </c>
      <c r="U39" s="380">
        <v>0</v>
      </c>
      <c r="V39" s="380">
        <v>21930.15</v>
      </c>
      <c r="W39" s="380">
        <v>50232</v>
      </c>
      <c r="X39" s="380">
        <v>22950.66</v>
      </c>
      <c r="Y39" s="380">
        <v>50232</v>
      </c>
      <c r="Z39" s="380">
        <v>22704.53</v>
      </c>
      <c r="AA39" s="376" t="s">
        <v>290</v>
      </c>
      <c r="AB39" s="376" t="s">
        <v>291</v>
      </c>
      <c r="AC39" s="376" t="s">
        <v>292</v>
      </c>
      <c r="AD39" s="376" t="s">
        <v>181</v>
      </c>
      <c r="AE39" s="376" t="s">
        <v>268</v>
      </c>
      <c r="AF39" s="376" t="s">
        <v>274</v>
      </c>
      <c r="AG39" s="376" t="s">
        <v>178</v>
      </c>
      <c r="AH39" s="381">
        <v>24.15</v>
      </c>
      <c r="AI39" s="381">
        <v>10112.5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385">
        <v>1</v>
      </c>
      <c r="AQ39" s="385">
        <v>1</v>
      </c>
      <c r="AR39" s="383" t="s">
        <v>183</v>
      </c>
      <c r="AS39" s="387">
        <f t="shared" si="27"/>
        <v>1</v>
      </c>
      <c r="AT39">
        <f t="shared" si="28"/>
        <v>1</v>
      </c>
      <c r="AU39" s="387">
        <f>IF(AT39=0,"",IF(AND(AT39=1,M39="F",SUMIF(C2:C206,C39,AS2:AS206)&lt;=1),SUMIF(C2:C206,C39,AS2:AS206),IF(AND(AT39=1,M39="F",SUMIF(C2:C206,C39,AS2:AS206)&gt;1),1,"")))</f>
        <v>1</v>
      </c>
      <c r="AV39" s="387" t="str">
        <f>IF(AT39=0,"",IF(AND(AT39=3,M39="F",SUMIF(C2:C206,C39,AS2:AS206)&lt;=1),SUMIF(C2:C206,C39,AS2:AS206),IF(AND(AT39=3,M39="F",SUMIF(C2:C206,C39,AS2:AS206)&gt;1),1,"")))</f>
        <v/>
      </c>
      <c r="AW39" s="387">
        <f>SUMIF(C2:C206,C39,O2:O206)</f>
        <v>1</v>
      </c>
      <c r="AX39" s="387">
        <f>IF(AND(M39="F",AS39&lt;&gt;0),SUMIF(C2:C206,C39,W2:W206),0)</f>
        <v>50232</v>
      </c>
      <c r="AY39" s="387">
        <f t="shared" si="29"/>
        <v>50232</v>
      </c>
      <c r="AZ39" s="387" t="str">
        <f t="shared" si="30"/>
        <v/>
      </c>
      <c r="BA39" s="387">
        <f t="shared" si="31"/>
        <v>0</v>
      </c>
      <c r="BB39" s="387">
        <f t="shared" si="0"/>
        <v>11650</v>
      </c>
      <c r="BC39" s="387">
        <f t="shared" si="1"/>
        <v>0</v>
      </c>
      <c r="BD39" s="387">
        <f t="shared" si="2"/>
        <v>3114.384</v>
      </c>
      <c r="BE39" s="387">
        <f t="shared" si="3"/>
        <v>728.36400000000003</v>
      </c>
      <c r="BF39" s="387">
        <f t="shared" si="4"/>
        <v>5997.7008000000005</v>
      </c>
      <c r="BG39" s="387">
        <f t="shared" si="5"/>
        <v>362.17272000000003</v>
      </c>
      <c r="BH39" s="387">
        <f t="shared" si="6"/>
        <v>246.13679999999999</v>
      </c>
      <c r="BI39" s="387">
        <f t="shared" si="7"/>
        <v>153.70991999999998</v>
      </c>
      <c r="BJ39" s="387">
        <f t="shared" si="8"/>
        <v>698.22479999999996</v>
      </c>
      <c r="BK39" s="387">
        <f t="shared" si="9"/>
        <v>0</v>
      </c>
      <c r="BL39" s="387">
        <f t="shared" si="32"/>
        <v>11300.69304</v>
      </c>
      <c r="BM39" s="387">
        <f t="shared" si="33"/>
        <v>0</v>
      </c>
      <c r="BN39" s="387">
        <f t="shared" si="10"/>
        <v>11650</v>
      </c>
      <c r="BO39" s="387">
        <f t="shared" si="11"/>
        <v>0</v>
      </c>
      <c r="BP39" s="387">
        <f t="shared" si="12"/>
        <v>3114.384</v>
      </c>
      <c r="BQ39" s="387">
        <f t="shared" si="13"/>
        <v>728.36400000000003</v>
      </c>
      <c r="BR39" s="387">
        <f t="shared" si="14"/>
        <v>5997.7008000000005</v>
      </c>
      <c r="BS39" s="387">
        <f t="shared" si="15"/>
        <v>362.17272000000003</v>
      </c>
      <c r="BT39" s="387">
        <f t="shared" si="16"/>
        <v>0</v>
      </c>
      <c r="BU39" s="387">
        <f t="shared" si="17"/>
        <v>153.70991999999998</v>
      </c>
      <c r="BV39" s="387">
        <f t="shared" si="18"/>
        <v>698.22479999999996</v>
      </c>
      <c r="BW39" s="387">
        <f t="shared" si="19"/>
        <v>0</v>
      </c>
      <c r="BX39" s="387">
        <f t="shared" si="34"/>
        <v>11054.55624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0</v>
      </c>
      <c r="CE39" s="387">
        <f t="shared" si="22"/>
        <v>0</v>
      </c>
      <c r="CF39" s="387">
        <f t="shared" si="23"/>
        <v>-246.13679999999999</v>
      </c>
      <c r="CG39" s="387">
        <f t="shared" si="24"/>
        <v>0</v>
      </c>
      <c r="CH39" s="387">
        <f t="shared" si="25"/>
        <v>0</v>
      </c>
      <c r="CI39" s="387">
        <f t="shared" si="26"/>
        <v>0</v>
      </c>
      <c r="CJ39" s="387">
        <f t="shared" si="39"/>
        <v>-246.13679999999999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0365-00</v>
      </c>
    </row>
    <row r="40" spans="1:92" ht="15.75" thickBot="1" x14ac:dyDescent="0.3">
      <c r="A40" s="376" t="s">
        <v>161</v>
      </c>
      <c r="B40" s="376" t="s">
        <v>162</v>
      </c>
      <c r="C40" s="376" t="s">
        <v>293</v>
      </c>
      <c r="D40" s="376" t="s">
        <v>294</v>
      </c>
      <c r="E40" s="376" t="s">
        <v>216</v>
      </c>
      <c r="F40" s="377" t="s">
        <v>166</v>
      </c>
      <c r="G40" s="376" t="s">
        <v>267</v>
      </c>
      <c r="H40" s="378"/>
      <c r="I40" s="378"/>
      <c r="J40" s="376" t="s">
        <v>186</v>
      </c>
      <c r="K40" s="376" t="s">
        <v>295</v>
      </c>
      <c r="L40" s="376" t="s">
        <v>188</v>
      </c>
      <c r="M40" s="376" t="s">
        <v>171</v>
      </c>
      <c r="N40" s="376" t="s">
        <v>172</v>
      </c>
      <c r="O40" s="379">
        <v>1</v>
      </c>
      <c r="P40" s="385">
        <v>1</v>
      </c>
      <c r="Q40" s="385">
        <v>1</v>
      </c>
      <c r="R40" s="380">
        <v>80</v>
      </c>
      <c r="S40" s="385">
        <v>1</v>
      </c>
      <c r="T40" s="380">
        <v>55057.47</v>
      </c>
      <c r="U40" s="380">
        <v>0</v>
      </c>
      <c r="V40" s="380">
        <v>21672.639999999999</v>
      </c>
      <c r="W40" s="380">
        <v>60278.400000000001</v>
      </c>
      <c r="X40" s="380">
        <v>25210.799999999999</v>
      </c>
      <c r="Y40" s="380">
        <v>60278.400000000001</v>
      </c>
      <c r="Z40" s="380">
        <v>24915.439999999999</v>
      </c>
      <c r="AA40" s="376" t="s">
        <v>296</v>
      </c>
      <c r="AB40" s="376" t="s">
        <v>297</v>
      </c>
      <c r="AC40" s="376" t="s">
        <v>298</v>
      </c>
      <c r="AD40" s="376" t="s">
        <v>299</v>
      </c>
      <c r="AE40" s="376" t="s">
        <v>295</v>
      </c>
      <c r="AF40" s="376" t="s">
        <v>193</v>
      </c>
      <c r="AG40" s="376" t="s">
        <v>178</v>
      </c>
      <c r="AH40" s="381">
        <v>28.98</v>
      </c>
      <c r="AI40" s="381">
        <v>12284.2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385">
        <v>1</v>
      </c>
      <c r="AQ40" s="385">
        <v>1</v>
      </c>
      <c r="AR40" s="383" t="s">
        <v>183</v>
      </c>
      <c r="AS40" s="387">
        <f t="shared" si="27"/>
        <v>1</v>
      </c>
      <c r="AT40">
        <f t="shared" si="28"/>
        <v>1</v>
      </c>
      <c r="AU40" s="387">
        <f>IF(AT40=0,"",IF(AND(AT40=1,M40="F",SUMIF(C2:C206,C40,AS2:AS206)&lt;=1),SUMIF(C2:C206,C40,AS2:AS206),IF(AND(AT40=1,M40="F",SUMIF(C2:C206,C40,AS2:AS206)&gt;1),1,"")))</f>
        <v>1</v>
      </c>
      <c r="AV40" s="387" t="str">
        <f>IF(AT40=0,"",IF(AND(AT40=3,M40="F",SUMIF(C2:C206,C40,AS2:AS206)&lt;=1),SUMIF(C2:C206,C40,AS2:AS206),IF(AND(AT40=3,M40="F",SUMIF(C2:C206,C40,AS2:AS206)&gt;1),1,"")))</f>
        <v/>
      </c>
      <c r="AW40" s="387">
        <f>SUMIF(C2:C206,C40,O2:O206)</f>
        <v>1</v>
      </c>
      <c r="AX40" s="387">
        <f>IF(AND(M40="F",AS40&lt;&gt;0),SUMIF(C2:C206,C40,W2:W206),0)</f>
        <v>60278.400000000001</v>
      </c>
      <c r="AY40" s="387">
        <f t="shared" si="29"/>
        <v>60278.400000000001</v>
      </c>
      <c r="AZ40" s="387" t="str">
        <f t="shared" si="30"/>
        <v/>
      </c>
      <c r="BA40" s="387">
        <f t="shared" si="31"/>
        <v>0</v>
      </c>
      <c r="BB40" s="387">
        <f t="shared" si="0"/>
        <v>11650</v>
      </c>
      <c r="BC40" s="387">
        <f t="shared" si="1"/>
        <v>0</v>
      </c>
      <c r="BD40" s="387">
        <f t="shared" si="2"/>
        <v>3737.2608</v>
      </c>
      <c r="BE40" s="387">
        <f t="shared" si="3"/>
        <v>874.03680000000008</v>
      </c>
      <c r="BF40" s="387">
        <f t="shared" si="4"/>
        <v>7197.240960000001</v>
      </c>
      <c r="BG40" s="387">
        <f t="shared" si="5"/>
        <v>434.60726400000004</v>
      </c>
      <c r="BH40" s="387">
        <f t="shared" si="6"/>
        <v>295.36415999999997</v>
      </c>
      <c r="BI40" s="387">
        <f t="shared" si="7"/>
        <v>184.45190399999998</v>
      </c>
      <c r="BJ40" s="387">
        <f t="shared" si="8"/>
        <v>837.86975999999993</v>
      </c>
      <c r="BK40" s="387">
        <f t="shared" si="9"/>
        <v>0</v>
      </c>
      <c r="BL40" s="387">
        <f t="shared" si="32"/>
        <v>13560.831647999999</v>
      </c>
      <c r="BM40" s="387">
        <f t="shared" si="33"/>
        <v>0</v>
      </c>
      <c r="BN40" s="387">
        <f t="shared" si="10"/>
        <v>11650</v>
      </c>
      <c r="BO40" s="387">
        <f t="shared" si="11"/>
        <v>0</v>
      </c>
      <c r="BP40" s="387">
        <f t="shared" si="12"/>
        <v>3737.2608</v>
      </c>
      <c r="BQ40" s="387">
        <f t="shared" si="13"/>
        <v>874.03680000000008</v>
      </c>
      <c r="BR40" s="387">
        <f t="shared" si="14"/>
        <v>7197.240960000001</v>
      </c>
      <c r="BS40" s="387">
        <f t="shared" si="15"/>
        <v>434.60726400000004</v>
      </c>
      <c r="BT40" s="387">
        <f t="shared" si="16"/>
        <v>0</v>
      </c>
      <c r="BU40" s="387">
        <f t="shared" si="17"/>
        <v>184.45190399999998</v>
      </c>
      <c r="BV40" s="387">
        <f t="shared" si="18"/>
        <v>837.86975999999993</v>
      </c>
      <c r="BW40" s="387">
        <f t="shared" si="19"/>
        <v>0</v>
      </c>
      <c r="BX40" s="387">
        <f t="shared" si="34"/>
        <v>13265.467488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-295.36415999999997</v>
      </c>
      <c r="CG40" s="387">
        <f t="shared" si="24"/>
        <v>0</v>
      </c>
      <c r="CH40" s="387">
        <f t="shared" si="25"/>
        <v>0</v>
      </c>
      <c r="CI40" s="387">
        <f t="shared" si="26"/>
        <v>0</v>
      </c>
      <c r="CJ40" s="387">
        <f t="shared" si="39"/>
        <v>-295.36415999999997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0365-00</v>
      </c>
    </row>
    <row r="41" spans="1:92" ht="15.75" thickBot="1" x14ac:dyDescent="0.3">
      <c r="A41" s="376" t="s">
        <v>161</v>
      </c>
      <c r="B41" s="376" t="s">
        <v>162</v>
      </c>
      <c r="C41" s="376" t="s">
        <v>300</v>
      </c>
      <c r="D41" s="376" t="s">
        <v>301</v>
      </c>
      <c r="E41" s="376" t="s">
        <v>216</v>
      </c>
      <c r="F41" s="377" t="s">
        <v>166</v>
      </c>
      <c r="G41" s="376" t="s">
        <v>267</v>
      </c>
      <c r="H41" s="378"/>
      <c r="I41" s="378"/>
      <c r="J41" s="376" t="s">
        <v>186</v>
      </c>
      <c r="K41" s="376" t="s">
        <v>302</v>
      </c>
      <c r="L41" s="376" t="s">
        <v>181</v>
      </c>
      <c r="M41" s="376" t="s">
        <v>171</v>
      </c>
      <c r="N41" s="376" t="s">
        <v>172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79423.839999999997</v>
      </c>
      <c r="U41" s="380">
        <v>0</v>
      </c>
      <c r="V41" s="380">
        <v>28289.62</v>
      </c>
      <c r="W41" s="380">
        <v>82305.600000000006</v>
      </c>
      <c r="X41" s="380">
        <v>30166.25</v>
      </c>
      <c r="Y41" s="380">
        <v>82305.600000000006</v>
      </c>
      <c r="Z41" s="380">
        <v>29762.959999999999</v>
      </c>
      <c r="AA41" s="376" t="s">
        <v>303</v>
      </c>
      <c r="AB41" s="376" t="s">
        <v>304</v>
      </c>
      <c r="AC41" s="376" t="s">
        <v>305</v>
      </c>
      <c r="AD41" s="376" t="s">
        <v>306</v>
      </c>
      <c r="AE41" s="376" t="s">
        <v>302</v>
      </c>
      <c r="AF41" s="376" t="s">
        <v>307</v>
      </c>
      <c r="AG41" s="376" t="s">
        <v>178</v>
      </c>
      <c r="AH41" s="381">
        <v>39.57</v>
      </c>
      <c r="AI41" s="379">
        <v>18791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5">
        <v>1</v>
      </c>
      <c r="AQ41" s="385">
        <v>1</v>
      </c>
      <c r="AR41" s="383" t="s">
        <v>183</v>
      </c>
      <c r="AS41" s="387">
        <f t="shared" si="27"/>
        <v>1</v>
      </c>
      <c r="AT41">
        <f t="shared" si="28"/>
        <v>1</v>
      </c>
      <c r="AU41" s="387">
        <f>IF(AT41=0,"",IF(AND(AT41=1,M41="F",SUMIF(C2:C206,C41,AS2:AS206)&lt;=1),SUMIF(C2:C206,C41,AS2:AS206),IF(AND(AT41=1,M41="F",SUMIF(C2:C206,C41,AS2:AS206)&gt;1),1,"")))</f>
        <v>1</v>
      </c>
      <c r="AV41" s="387" t="str">
        <f>IF(AT41=0,"",IF(AND(AT41=3,M41="F",SUMIF(C2:C206,C41,AS2:AS206)&lt;=1),SUMIF(C2:C206,C41,AS2:AS206),IF(AND(AT41=3,M41="F",SUMIF(C2:C206,C41,AS2:AS206)&gt;1),1,"")))</f>
        <v/>
      </c>
      <c r="AW41" s="387">
        <f>SUMIF(C2:C206,C41,O2:O206)</f>
        <v>1</v>
      </c>
      <c r="AX41" s="387">
        <f>IF(AND(M41="F",AS41&lt;&gt;0),SUMIF(C2:C206,C41,W2:W206),0)</f>
        <v>82305.600000000006</v>
      </c>
      <c r="AY41" s="387">
        <f t="shared" si="29"/>
        <v>82305.600000000006</v>
      </c>
      <c r="AZ41" s="387" t="str">
        <f t="shared" si="30"/>
        <v/>
      </c>
      <c r="BA41" s="387">
        <f t="shared" si="31"/>
        <v>0</v>
      </c>
      <c r="BB41" s="387">
        <f t="shared" si="0"/>
        <v>11650</v>
      </c>
      <c r="BC41" s="387">
        <f t="shared" si="1"/>
        <v>0</v>
      </c>
      <c r="BD41" s="387">
        <f t="shared" si="2"/>
        <v>5102.9472000000005</v>
      </c>
      <c r="BE41" s="387">
        <f t="shared" si="3"/>
        <v>1193.4312000000002</v>
      </c>
      <c r="BF41" s="387">
        <f t="shared" si="4"/>
        <v>9827.2886400000007</v>
      </c>
      <c r="BG41" s="387">
        <f t="shared" si="5"/>
        <v>593.42337600000008</v>
      </c>
      <c r="BH41" s="387">
        <f t="shared" si="6"/>
        <v>403.29743999999999</v>
      </c>
      <c r="BI41" s="387">
        <f t="shared" si="7"/>
        <v>251.85513599999999</v>
      </c>
      <c r="BJ41" s="387">
        <f t="shared" si="8"/>
        <v>1144.04784</v>
      </c>
      <c r="BK41" s="387">
        <f t="shared" si="9"/>
        <v>0</v>
      </c>
      <c r="BL41" s="387">
        <f t="shared" si="32"/>
        <v>18516.290831999995</v>
      </c>
      <c r="BM41" s="387">
        <f t="shared" si="33"/>
        <v>0</v>
      </c>
      <c r="BN41" s="387">
        <f t="shared" si="10"/>
        <v>11650</v>
      </c>
      <c r="BO41" s="387">
        <f t="shared" si="11"/>
        <v>0</v>
      </c>
      <c r="BP41" s="387">
        <f t="shared" si="12"/>
        <v>5102.9472000000005</v>
      </c>
      <c r="BQ41" s="387">
        <f t="shared" si="13"/>
        <v>1193.4312000000002</v>
      </c>
      <c r="BR41" s="387">
        <f t="shared" si="14"/>
        <v>9827.2886400000007</v>
      </c>
      <c r="BS41" s="387">
        <f t="shared" si="15"/>
        <v>593.42337600000008</v>
      </c>
      <c r="BT41" s="387">
        <f t="shared" si="16"/>
        <v>0</v>
      </c>
      <c r="BU41" s="387">
        <f t="shared" si="17"/>
        <v>251.85513599999999</v>
      </c>
      <c r="BV41" s="387">
        <f t="shared" si="18"/>
        <v>1144.04784</v>
      </c>
      <c r="BW41" s="387">
        <f t="shared" si="19"/>
        <v>0</v>
      </c>
      <c r="BX41" s="387">
        <f t="shared" si="34"/>
        <v>18112.993391999997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0</v>
      </c>
      <c r="CE41" s="387">
        <f t="shared" si="22"/>
        <v>0</v>
      </c>
      <c r="CF41" s="387">
        <f t="shared" si="23"/>
        <v>-403.29743999999999</v>
      </c>
      <c r="CG41" s="387">
        <f t="shared" si="24"/>
        <v>0</v>
      </c>
      <c r="CH41" s="387">
        <f t="shared" si="25"/>
        <v>0</v>
      </c>
      <c r="CI41" s="387">
        <f t="shared" si="26"/>
        <v>0</v>
      </c>
      <c r="CJ41" s="387">
        <f t="shared" si="39"/>
        <v>-403.29743999999999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0365-00</v>
      </c>
    </row>
    <row r="42" spans="1:92" ht="15.75" thickBot="1" x14ac:dyDescent="0.3">
      <c r="A42" s="376" t="s">
        <v>161</v>
      </c>
      <c r="B42" s="376" t="s">
        <v>162</v>
      </c>
      <c r="C42" s="376" t="s">
        <v>308</v>
      </c>
      <c r="D42" s="376" t="s">
        <v>309</v>
      </c>
      <c r="E42" s="376" t="s">
        <v>216</v>
      </c>
      <c r="F42" s="377" t="s">
        <v>166</v>
      </c>
      <c r="G42" s="376" t="s">
        <v>267</v>
      </c>
      <c r="H42" s="378"/>
      <c r="I42" s="378"/>
      <c r="J42" s="376" t="s">
        <v>242</v>
      </c>
      <c r="K42" s="376" t="s">
        <v>310</v>
      </c>
      <c r="L42" s="376" t="s">
        <v>166</v>
      </c>
      <c r="M42" s="376" t="s">
        <v>171</v>
      </c>
      <c r="N42" s="376" t="s">
        <v>198</v>
      </c>
      <c r="O42" s="379">
        <v>1</v>
      </c>
      <c r="P42" s="385">
        <v>0.5</v>
      </c>
      <c r="Q42" s="385">
        <v>0.5</v>
      </c>
      <c r="R42" s="380">
        <v>80</v>
      </c>
      <c r="S42" s="385">
        <v>0.5</v>
      </c>
      <c r="T42" s="380">
        <v>54653.2</v>
      </c>
      <c r="U42" s="380">
        <v>0</v>
      </c>
      <c r="V42" s="380">
        <v>16282.16</v>
      </c>
      <c r="W42" s="380">
        <v>56336.800000000003</v>
      </c>
      <c r="X42" s="380">
        <v>18326.68</v>
      </c>
      <c r="Y42" s="380">
        <v>56336.800000000003</v>
      </c>
      <c r="Z42" s="380">
        <v>18050.63</v>
      </c>
      <c r="AA42" s="376" t="s">
        <v>311</v>
      </c>
      <c r="AB42" s="376" t="s">
        <v>312</v>
      </c>
      <c r="AC42" s="376" t="s">
        <v>313</v>
      </c>
      <c r="AD42" s="376" t="s">
        <v>228</v>
      </c>
      <c r="AE42" s="376" t="s">
        <v>310</v>
      </c>
      <c r="AF42" s="376" t="s">
        <v>203</v>
      </c>
      <c r="AG42" s="376" t="s">
        <v>178</v>
      </c>
      <c r="AH42" s="381">
        <v>54.17</v>
      </c>
      <c r="AI42" s="381">
        <v>49584.4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385">
        <v>1</v>
      </c>
      <c r="AQ42" s="385">
        <v>0.5</v>
      </c>
      <c r="AR42" s="383" t="s">
        <v>183</v>
      </c>
      <c r="AS42" s="387">
        <f t="shared" si="27"/>
        <v>0.5</v>
      </c>
      <c r="AT42">
        <f t="shared" si="28"/>
        <v>1</v>
      </c>
      <c r="AU42" s="387">
        <f>IF(AT42=0,"",IF(AND(AT42=1,M42="F",SUMIF(C2:C206,C42,AS2:AS206)&lt;=1),SUMIF(C2:C206,C42,AS2:AS206),IF(AND(AT42=1,M42="F",SUMIF(C2:C206,C42,AS2:AS206)&gt;1),1,"")))</f>
        <v>1</v>
      </c>
      <c r="AV42" s="387" t="str">
        <f>IF(AT42=0,"",IF(AND(AT42=3,M42="F",SUMIF(C2:C206,C42,AS2:AS206)&lt;=1),SUMIF(C2:C206,C42,AS2:AS206),IF(AND(AT42=3,M42="F",SUMIF(C2:C206,C42,AS2:AS206)&gt;1),1,"")))</f>
        <v/>
      </c>
      <c r="AW42" s="387">
        <f>SUMIF(C2:C206,C42,O2:O206)</f>
        <v>2</v>
      </c>
      <c r="AX42" s="387">
        <f>IF(AND(M42="F",AS42&lt;&gt;0),SUMIF(C2:C206,C42,W2:W206),0)</f>
        <v>112673.60000000001</v>
      </c>
      <c r="AY42" s="387">
        <f t="shared" si="29"/>
        <v>56336.800000000003</v>
      </c>
      <c r="AZ42" s="387" t="str">
        <f t="shared" si="30"/>
        <v/>
      </c>
      <c r="BA42" s="387">
        <f t="shared" si="31"/>
        <v>0</v>
      </c>
      <c r="BB42" s="387">
        <f t="shared" si="0"/>
        <v>5825</v>
      </c>
      <c r="BC42" s="387">
        <f t="shared" si="1"/>
        <v>0</v>
      </c>
      <c r="BD42" s="387">
        <f t="shared" si="2"/>
        <v>3492.8816000000002</v>
      </c>
      <c r="BE42" s="387">
        <f t="shared" si="3"/>
        <v>816.88360000000011</v>
      </c>
      <c r="BF42" s="387">
        <f t="shared" si="4"/>
        <v>6726.6139200000007</v>
      </c>
      <c r="BG42" s="387">
        <f t="shared" si="5"/>
        <v>406.18832800000001</v>
      </c>
      <c r="BH42" s="387">
        <f t="shared" si="6"/>
        <v>276.05032</v>
      </c>
      <c r="BI42" s="387">
        <f t="shared" si="7"/>
        <v>0</v>
      </c>
      <c r="BJ42" s="387">
        <f t="shared" si="8"/>
        <v>783.08151999999995</v>
      </c>
      <c r="BK42" s="387">
        <f t="shared" si="9"/>
        <v>0</v>
      </c>
      <c r="BL42" s="387">
        <f t="shared" si="32"/>
        <v>12501.699288000002</v>
      </c>
      <c r="BM42" s="387">
        <f t="shared" si="33"/>
        <v>0</v>
      </c>
      <c r="BN42" s="387">
        <f t="shared" si="10"/>
        <v>5825</v>
      </c>
      <c r="BO42" s="387">
        <f t="shared" si="11"/>
        <v>0</v>
      </c>
      <c r="BP42" s="387">
        <f t="shared" si="12"/>
        <v>3492.8816000000002</v>
      </c>
      <c r="BQ42" s="387">
        <f t="shared" si="13"/>
        <v>816.88360000000011</v>
      </c>
      <c r="BR42" s="387">
        <f t="shared" si="14"/>
        <v>6726.6139200000007</v>
      </c>
      <c r="BS42" s="387">
        <f t="shared" si="15"/>
        <v>406.18832800000001</v>
      </c>
      <c r="BT42" s="387">
        <f t="shared" si="16"/>
        <v>0</v>
      </c>
      <c r="BU42" s="387">
        <f t="shared" si="17"/>
        <v>0</v>
      </c>
      <c r="BV42" s="387">
        <f t="shared" si="18"/>
        <v>783.08151999999995</v>
      </c>
      <c r="BW42" s="387">
        <f t="shared" si="19"/>
        <v>0</v>
      </c>
      <c r="BX42" s="387">
        <f t="shared" si="34"/>
        <v>12225.648968000001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0</v>
      </c>
      <c r="CE42" s="387">
        <f t="shared" si="22"/>
        <v>0</v>
      </c>
      <c r="CF42" s="387">
        <f t="shared" si="23"/>
        <v>-276.05032</v>
      </c>
      <c r="CG42" s="387">
        <f t="shared" si="24"/>
        <v>0</v>
      </c>
      <c r="CH42" s="387">
        <f t="shared" si="25"/>
        <v>0</v>
      </c>
      <c r="CI42" s="387">
        <f t="shared" si="26"/>
        <v>0</v>
      </c>
      <c r="CJ42" s="387">
        <f t="shared" si="39"/>
        <v>-276.05032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0365-00</v>
      </c>
    </row>
    <row r="43" spans="1:92" ht="15.75" thickBot="1" x14ac:dyDescent="0.3">
      <c r="A43" s="376" t="s">
        <v>161</v>
      </c>
      <c r="B43" s="376" t="s">
        <v>162</v>
      </c>
      <c r="C43" s="376" t="s">
        <v>259</v>
      </c>
      <c r="D43" s="376" t="s">
        <v>254</v>
      </c>
      <c r="E43" s="376" t="s">
        <v>216</v>
      </c>
      <c r="F43" s="377" t="s">
        <v>166</v>
      </c>
      <c r="G43" s="376" t="s">
        <v>267</v>
      </c>
      <c r="H43" s="378"/>
      <c r="I43" s="378"/>
      <c r="J43" s="376" t="s">
        <v>186</v>
      </c>
      <c r="K43" s="376" t="s">
        <v>255</v>
      </c>
      <c r="L43" s="376" t="s">
        <v>178</v>
      </c>
      <c r="M43" s="376" t="s">
        <v>171</v>
      </c>
      <c r="N43" s="376" t="s">
        <v>172</v>
      </c>
      <c r="O43" s="379">
        <v>1</v>
      </c>
      <c r="P43" s="385">
        <v>1</v>
      </c>
      <c r="Q43" s="385">
        <v>1</v>
      </c>
      <c r="R43" s="380">
        <v>80</v>
      </c>
      <c r="S43" s="385">
        <v>1</v>
      </c>
      <c r="T43" s="380">
        <v>38476.910000000003</v>
      </c>
      <c r="U43" s="380">
        <v>0</v>
      </c>
      <c r="V43" s="380">
        <v>19343</v>
      </c>
      <c r="W43" s="380">
        <v>39915.199999999997</v>
      </c>
      <c r="X43" s="380">
        <v>20629.7</v>
      </c>
      <c r="Y43" s="380">
        <v>39915.199999999997</v>
      </c>
      <c r="Z43" s="380">
        <v>20434.12</v>
      </c>
      <c r="AA43" s="376" t="s">
        <v>260</v>
      </c>
      <c r="AB43" s="376" t="s">
        <v>261</v>
      </c>
      <c r="AC43" s="376" t="s">
        <v>262</v>
      </c>
      <c r="AD43" s="376" t="s">
        <v>263</v>
      </c>
      <c r="AE43" s="376" t="s">
        <v>255</v>
      </c>
      <c r="AF43" s="376" t="s">
        <v>250</v>
      </c>
      <c r="AG43" s="376" t="s">
        <v>178</v>
      </c>
      <c r="AH43" s="381">
        <v>19.190000000000001</v>
      </c>
      <c r="AI43" s="381">
        <v>62825.3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385">
        <v>1</v>
      </c>
      <c r="AQ43" s="385">
        <v>1</v>
      </c>
      <c r="AR43" s="383" t="s">
        <v>183</v>
      </c>
      <c r="AS43" s="387">
        <f t="shared" si="27"/>
        <v>1</v>
      </c>
      <c r="AT43">
        <f t="shared" si="28"/>
        <v>1</v>
      </c>
      <c r="AU43" s="387">
        <f>IF(AT43=0,"",IF(AND(AT43=1,M43="F",SUMIF(C2:C206,C43,AS2:AS206)&lt;=1),SUMIF(C2:C206,C43,AS2:AS206),IF(AND(AT43=1,M43="F",SUMIF(C2:C206,C43,AS2:AS206)&gt;1),1,"")))</f>
        <v>1</v>
      </c>
      <c r="AV43" s="387" t="str">
        <f>IF(AT43=0,"",IF(AND(AT43=3,M43="F",SUMIF(C2:C206,C43,AS2:AS206)&lt;=1),SUMIF(C2:C206,C43,AS2:AS206),IF(AND(AT43=3,M43="F",SUMIF(C2:C206,C43,AS2:AS206)&gt;1),1,"")))</f>
        <v/>
      </c>
      <c r="AW43" s="387">
        <f>SUMIF(C2:C206,C43,O2:O206)</f>
        <v>2</v>
      </c>
      <c r="AX43" s="387">
        <f>IF(AND(M43="F",AS43&lt;&gt;0),SUMIF(C2:C206,C43,W2:W206),0)</f>
        <v>39915.199999999997</v>
      </c>
      <c r="AY43" s="387">
        <f t="shared" si="29"/>
        <v>39915.199999999997</v>
      </c>
      <c r="AZ43" s="387" t="str">
        <f t="shared" si="30"/>
        <v/>
      </c>
      <c r="BA43" s="387">
        <f t="shared" si="31"/>
        <v>0</v>
      </c>
      <c r="BB43" s="387">
        <f t="shared" si="0"/>
        <v>11650</v>
      </c>
      <c r="BC43" s="387">
        <f t="shared" si="1"/>
        <v>0</v>
      </c>
      <c r="BD43" s="387">
        <f t="shared" si="2"/>
        <v>2474.7423999999996</v>
      </c>
      <c r="BE43" s="387">
        <f t="shared" si="3"/>
        <v>578.7704</v>
      </c>
      <c r="BF43" s="387">
        <f t="shared" si="4"/>
        <v>4765.8748800000003</v>
      </c>
      <c r="BG43" s="387">
        <f t="shared" si="5"/>
        <v>287.78859199999999</v>
      </c>
      <c r="BH43" s="387">
        <f t="shared" si="6"/>
        <v>195.58447999999999</v>
      </c>
      <c r="BI43" s="387">
        <f t="shared" si="7"/>
        <v>122.14051199999999</v>
      </c>
      <c r="BJ43" s="387">
        <f t="shared" si="8"/>
        <v>554.82127999999989</v>
      </c>
      <c r="BK43" s="387">
        <f t="shared" si="9"/>
        <v>0</v>
      </c>
      <c r="BL43" s="387">
        <f t="shared" si="32"/>
        <v>8979.7225440000002</v>
      </c>
      <c r="BM43" s="387">
        <f t="shared" si="33"/>
        <v>0</v>
      </c>
      <c r="BN43" s="387">
        <f t="shared" si="10"/>
        <v>11650</v>
      </c>
      <c r="BO43" s="387">
        <f t="shared" si="11"/>
        <v>0</v>
      </c>
      <c r="BP43" s="387">
        <f t="shared" si="12"/>
        <v>2474.7423999999996</v>
      </c>
      <c r="BQ43" s="387">
        <f t="shared" si="13"/>
        <v>578.7704</v>
      </c>
      <c r="BR43" s="387">
        <f t="shared" si="14"/>
        <v>4765.8748800000003</v>
      </c>
      <c r="BS43" s="387">
        <f t="shared" si="15"/>
        <v>287.78859199999999</v>
      </c>
      <c r="BT43" s="387">
        <f t="shared" si="16"/>
        <v>0</v>
      </c>
      <c r="BU43" s="387">
        <f t="shared" si="17"/>
        <v>122.14051199999999</v>
      </c>
      <c r="BV43" s="387">
        <f t="shared" si="18"/>
        <v>554.82127999999989</v>
      </c>
      <c r="BW43" s="387">
        <f t="shared" si="19"/>
        <v>0</v>
      </c>
      <c r="BX43" s="387">
        <f t="shared" si="34"/>
        <v>8784.1380640000007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0</v>
      </c>
      <c r="CE43" s="387">
        <f t="shared" si="22"/>
        <v>0</v>
      </c>
      <c r="CF43" s="387">
        <f t="shared" si="23"/>
        <v>-195.58447999999999</v>
      </c>
      <c r="CG43" s="387">
        <f t="shared" si="24"/>
        <v>0</v>
      </c>
      <c r="CH43" s="387">
        <f t="shared" si="25"/>
        <v>0</v>
      </c>
      <c r="CI43" s="387">
        <f t="shared" si="26"/>
        <v>0</v>
      </c>
      <c r="CJ43" s="387">
        <f t="shared" si="39"/>
        <v>-195.58447999999999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0365-00</v>
      </c>
    </row>
    <row r="44" spans="1:92" ht="15.75" thickBot="1" x14ac:dyDescent="0.3">
      <c r="A44" s="376" t="s">
        <v>161</v>
      </c>
      <c r="B44" s="376" t="s">
        <v>162</v>
      </c>
      <c r="C44" s="376" t="s">
        <v>314</v>
      </c>
      <c r="D44" s="376" t="s">
        <v>266</v>
      </c>
      <c r="E44" s="376" t="s">
        <v>216</v>
      </c>
      <c r="F44" s="377" t="s">
        <v>166</v>
      </c>
      <c r="G44" s="376" t="s">
        <v>267</v>
      </c>
      <c r="H44" s="378"/>
      <c r="I44" s="378"/>
      <c r="J44" s="376" t="s">
        <v>186</v>
      </c>
      <c r="K44" s="376" t="s">
        <v>268</v>
      </c>
      <c r="L44" s="376" t="s">
        <v>269</v>
      </c>
      <c r="M44" s="376" t="s">
        <v>171</v>
      </c>
      <c r="N44" s="376" t="s">
        <v>172</v>
      </c>
      <c r="O44" s="379">
        <v>1</v>
      </c>
      <c r="P44" s="385">
        <v>1</v>
      </c>
      <c r="Q44" s="385">
        <v>1</v>
      </c>
      <c r="R44" s="380">
        <v>80</v>
      </c>
      <c r="S44" s="385">
        <v>1</v>
      </c>
      <c r="T44" s="380">
        <v>25195.53</v>
      </c>
      <c r="U44" s="380">
        <v>1586.87</v>
      </c>
      <c r="V44" s="380">
        <v>11550.46</v>
      </c>
      <c r="W44" s="380">
        <v>44907.199999999997</v>
      </c>
      <c r="X44" s="380">
        <v>21752.74</v>
      </c>
      <c r="Y44" s="380">
        <v>44907.199999999997</v>
      </c>
      <c r="Z44" s="380">
        <v>21532.7</v>
      </c>
      <c r="AA44" s="376" t="s">
        <v>315</v>
      </c>
      <c r="AB44" s="376" t="s">
        <v>316</v>
      </c>
      <c r="AC44" s="376" t="s">
        <v>317</v>
      </c>
      <c r="AD44" s="376" t="s">
        <v>318</v>
      </c>
      <c r="AE44" s="376" t="s">
        <v>268</v>
      </c>
      <c r="AF44" s="376" t="s">
        <v>274</v>
      </c>
      <c r="AG44" s="376" t="s">
        <v>178</v>
      </c>
      <c r="AH44" s="381">
        <v>21.59</v>
      </c>
      <c r="AI44" s="379">
        <v>8545</v>
      </c>
      <c r="AJ44" s="376" t="s">
        <v>179</v>
      </c>
      <c r="AK44" s="376" t="s">
        <v>180</v>
      </c>
      <c r="AL44" s="376" t="s">
        <v>181</v>
      </c>
      <c r="AM44" s="376" t="s">
        <v>182</v>
      </c>
      <c r="AN44" s="376" t="s">
        <v>68</v>
      </c>
      <c r="AO44" s="379">
        <v>80</v>
      </c>
      <c r="AP44" s="385">
        <v>1</v>
      </c>
      <c r="AQ44" s="385">
        <v>1</v>
      </c>
      <c r="AR44" s="383" t="s">
        <v>183</v>
      </c>
      <c r="AS44" s="387">
        <f t="shared" si="27"/>
        <v>1</v>
      </c>
      <c r="AT44">
        <f t="shared" si="28"/>
        <v>1</v>
      </c>
      <c r="AU44" s="387">
        <f>IF(AT44=0,"",IF(AND(AT44=1,M44="F",SUMIF(C2:C206,C44,AS2:AS206)&lt;=1),SUMIF(C2:C206,C44,AS2:AS206),IF(AND(AT44=1,M44="F",SUMIF(C2:C206,C44,AS2:AS206)&gt;1),1,"")))</f>
        <v>1</v>
      </c>
      <c r="AV44" s="387" t="str">
        <f>IF(AT44=0,"",IF(AND(AT44=3,M44="F",SUMIF(C2:C206,C44,AS2:AS206)&lt;=1),SUMIF(C2:C206,C44,AS2:AS206),IF(AND(AT44=3,M44="F",SUMIF(C2:C206,C44,AS2:AS206)&gt;1),1,"")))</f>
        <v/>
      </c>
      <c r="AW44" s="387">
        <f>SUMIF(C2:C206,C44,O2:O206)</f>
        <v>1</v>
      </c>
      <c r="AX44" s="387">
        <f>IF(AND(M44="F",AS44&lt;&gt;0),SUMIF(C2:C206,C44,W2:W206),0)</f>
        <v>44907.199999999997</v>
      </c>
      <c r="AY44" s="387">
        <f t="shared" si="29"/>
        <v>44907.199999999997</v>
      </c>
      <c r="AZ44" s="387" t="str">
        <f t="shared" si="30"/>
        <v/>
      </c>
      <c r="BA44" s="387">
        <f t="shared" si="31"/>
        <v>0</v>
      </c>
      <c r="BB44" s="387">
        <f t="shared" si="0"/>
        <v>11650</v>
      </c>
      <c r="BC44" s="387">
        <f t="shared" si="1"/>
        <v>0</v>
      </c>
      <c r="BD44" s="387">
        <f t="shared" si="2"/>
        <v>2784.2464</v>
      </c>
      <c r="BE44" s="387">
        <f t="shared" si="3"/>
        <v>651.15440000000001</v>
      </c>
      <c r="BF44" s="387">
        <f t="shared" si="4"/>
        <v>5361.91968</v>
      </c>
      <c r="BG44" s="387">
        <f t="shared" si="5"/>
        <v>323.780912</v>
      </c>
      <c r="BH44" s="387">
        <f t="shared" si="6"/>
        <v>220.04527999999999</v>
      </c>
      <c r="BI44" s="387">
        <f t="shared" si="7"/>
        <v>137.41603199999997</v>
      </c>
      <c r="BJ44" s="387">
        <f t="shared" si="8"/>
        <v>624.21007999999995</v>
      </c>
      <c r="BK44" s="387">
        <f t="shared" si="9"/>
        <v>0</v>
      </c>
      <c r="BL44" s="387">
        <f t="shared" si="32"/>
        <v>10102.772784000001</v>
      </c>
      <c r="BM44" s="387">
        <f t="shared" si="33"/>
        <v>0</v>
      </c>
      <c r="BN44" s="387">
        <f t="shared" si="10"/>
        <v>11650</v>
      </c>
      <c r="BO44" s="387">
        <f t="shared" si="11"/>
        <v>0</v>
      </c>
      <c r="BP44" s="387">
        <f t="shared" si="12"/>
        <v>2784.2464</v>
      </c>
      <c r="BQ44" s="387">
        <f t="shared" si="13"/>
        <v>651.15440000000001</v>
      </c>
      <c r="BR44" s="387">
        <f t="shared" si="14"/>
        <v>5361.91968</v>
      </c>
      <c r="BS44" s="387">
        <f t="shared" si="15"/>
        <v>323.780912</v>
      </c>
      <c r="BT44" s="387">
        <f t="shared" si="16"/>
        <v>0</v>
      </c>
      <c r="BU44" s="387">
        <f t="shared" si="17"/>
        <v>137.41603199999997</v>
      </c>
      <c r="BV44" s="387">
        <f t="shared" si="18"/>
        <v>624.21007999999995</v>
      </c>
      <c r="BW44" s="387">
        <f t="shared" si="19"/>
        <v>0</v>
      </c>
      <c r="BX44" s="387">
        <f t="shared" si="34"/>
        <v>9882.7275040000004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-220.04527999999999</v>
      </c>
      <c r="CG44" s="387">
        <f t="shared" si="24"/>
        <v>0</v>
      </c>
      <c r="CH44" s="387">
        <f t="shared" si="25"/>
        <v>0</v>
      </c>
      <c r="CI44" s="387">
        <f t="shared" si="26"/>
        <v>0</v>
      </c>
      <c r="CJ44" s="387">
        <f t="shared" si="39"/>
        <v>-220.04527999999999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0365-00</v>
      </c>
    </row>
    <row r="45" spans="1:92" ht="15.75" thickBot="1" x14ac:dyDescent="0.3">
      <c r="A45" s="376" t="s">
        <v>161</v>
      </c>
      <c r="B45" s="376" t="s">
        <v>162</v>
      </c>
      <c r="C45" s="376" t="s">
        <v>319</v>
      </c>
      <c r="D45" s="376" t="s">
        <v>320</v>
      </c>
      <c r="E45" s="376" t="s">
        <v>216</v>
      </c>
      <c r="F45" s="377" t="s">
        <v>166</v>
      </c>
      <c r="G45" s="376" t="s">
        <v>267</v>
      </c>
      <c r="H45" s="378"/>
      <c r="I45" s="378"/>
      <c r="J45" s="376" t="s">
        <v>242</v>
      </c>
      <c r="K45" s="376" t="s">
        <v>321</v>
      </c>
      <c r="L45" s="376" t="s">
        <v>170</v>
      </c>
      <c r="M45" s="376" t="s">
        <v>171</v>
      </c>
      <c r="N45" s="376" t="s">
        <v>172</v>
      </c>
      <c r="O45" s="379">
        <v>1</v>
      </c>
      <c r="P45" s="385">
        <v>0.8</v>
      </c>
      <c r="Q45" s="385">
        <v>0.8</v>
      </c>
      <c r="R45" s="380">
        <v>80</v>
      </c>
      <c r="S45" s="385">
        <v>0.8</v>
      </c>
      <c r="T45" s="380">
        <v>28089.63</v>
      </c>
      <c r="U45" s="380">
        <v>0</v>
      </c>
      <c r="V45" s="380">
        <v>12385.72</v>
      </c>
      <c r="W45" s="380">
        <v>41999.360000000001</v>
      </c>
      <c r="X45" s="380">
        <v>18768.560000000001</v>
      </c>
      <c r="Y45" s="380">
        <v>41999.360000000001</v>
      </c>
      <c r="Z45" s="380">
        <v>18562.759999999998</v>
      </c>
      <c r="AA45" s="376" t="s">
        <v>322</v>
      </c>
      <c r="AB45" s="376" t="s">
        <v>323</v>
      </c>
      <c r="AC45" s="376" t="s">
        <v>324</v>
      </c>
      <c r="AD45" s="376" t="s">
        <v>306</v>
      </c>
      <c r="AE45" s="376" t="s">
        <v>321</v>
      </c>
      <c r="AF45" s="376" t="s">
        <v>177</v>
      </c>
      <c r="AG45" s="376" t="s">
        <v>178</v>
      </c>
      <c r="AH45" s="381">
        <v>25.24</v>
      </c>
      <c r="AI45" s="381">
        <v>3049.5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385">
        <v>1</v>
      </c>
      <c r="AQ45" s="385">
        <v>0.8</v>
      </c>
      <c r="AR45" s="383" t="s">
        <v>183</v>
      </c>
      <c r="AS45" s="387">
        <f t="shared" si="27"/>
        <v>0.8</v>
      </c>
      <c r="AT45">
        <f t="shared" si="28"/>
        <v>1</v>
      </c>
      <c r="AU45" s="387">
        <f>IF(AT45=0,"",IF(AND(AT45=1,M45="F",SUMIF(C2:C206,C45,AS2:AS206)&lt;=1),SUMIF(C2:C206,C45,AS2:AS206),IF(AND(AT45=1,M45="F",SUMIF(C2:C206,C45,AS2:AS206)&gt;1),1,"")))</f>
        <v>1</v>
      </c>
      <c r="AV45" s="387" t="str">
        <f>IF(AT45=0,"",IF(AND(AT45=3,M45="F",SUMIF(C2:C206,C45,AS2:AS206)&lt;=1),SUMIF(C2:C206,C45,AS2:AS206),IF(AND(AT45=3,M45="F",SUMIF(C2:C206,C45,AS2:AS206)&gt;1),1,"")))</f>
        <v/>
      </c>
      <c r="AW45" s="387">
        <f>SUMIF(C2:C206,C45,O2:O206)</f>
        <v>2</v>
      </c>
      <c r="AX45" s="387">
        <f>IF(AND(M45="F",AS45&lt;&gt;0),SUMIF(C2:C206,C45,W2:W206),0)</f>
        <v>52499.199999999997</v>
      </c>
      <c r="AY45" s="387">
        <f t="shared" si="29"/>
        <v>41999.360000000001</v>
      </c>
      <c r="AZ45" s="387" t="str">
        <f t="shared" si="30"/>
        <v/>
      </c>
      <c r="BA45" s="387">
        <f t="shared" si="31"/>
        <v>0</v>
      </c>
      <c r="BB45" s="387">
        <f t="shared" si="0"/>
        <v>9320</v>
      </c>
      <c r="BC45" s="387">
        <f t="shared" si="1"/>
        <v>0</v>
      </c>
      <c r="BD45" s="387">
        <f t="shared" si="2"/>
        <v>2603.9603200000001</v>
      </c>
      <c r="BE45" s="387">
        <f t="shared" si="3"/>
        <v>608.99072000000001</v>
      </c>
      <c r="BF45" s="387">
        <f t="shared" si="4"/>
        <v>5014.7235840000003</v>
      </c>
      <c r="BG45" s="387">
        <f t="shared" si="5"/>
        <v>302.81538560000001</v>
      </c>
      <c r="BH45" s="387">
        <f t="shared" si="6"/>
        <v>205.796864</v>
      </c>
      <c r="BI45" s="387">
        <f t="shared" si="7"/>
        <v>128.5180416</v>
      </c>
      <c r="BJ45" s="387">
        <f t="shared" si="8"/>
        <v>583.79110400000002</v>
      </c>
      <c r="BK45" s="387">
        <f t="shared" si="9"/>
        <v>0</v>
      </c>
      <c r="BL45" s="387">
        <f t="shared" si="32"/>
        <v>9448.5960192000002</v>
      </c>
      <c r="BM45" s="387">
        <f t="shared" si="33"/>
        <v>0</v>
      </c>
      <c r="BN45" s="387">
        <f t="shared" si="10"/>
        <v>9320</v>
      </c>
      <c r="BO45" s="387">
        <f t="shared" si="11"/>
        <v>0</v>
      </c>
      <c r="BP45" s="387">
        <f t="shared" si="12"/>
        <v>2603.9603200000001</v>
      </c>
      <c r="BQ45" s="387">
        <f t="shared" si="13"/>
        <v>608.99072000000001</v>
      </c>
      <c r="BR45" s="387">
        <f t="shared" si="14"/>
        <v>5014.7235840000003</v>
      </c>
      <c r="BS45" s="387">
        <f t="shared" si="15"/>
        <v>302.81538560000001</v>
      </c>
      <c r="BT45" s="387">
        <f t="shared" si="16"/>
        <v>0</v>
      </c>
      <c r="BU45" s="387">
        <f t="shared" si="17"/>
        <v>128.5180416</v>
      </c>
      <c r="BV45" s="387">
        <f t="shared" si="18"/>
        <v>583.79110400000002</v>
      </c>
      <c r="BW45" s="387">
        <f t="shared" si="19"/>
        <v>0</v>
      </c>
      <c r="BX45" s="387">
        <f t="shared" si="34"/>
        <v>9242.7991552000003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-205.796864</v>
      </c>
      <c r="CG45" s="387">
        <f t="shared" si="24"/>
        <v>0</v>
      </c>
      <c r="CH45" s="387">
        <f t="shared" si="25"/>
        <v>0</v>
      </c>
      <c r="CI45" s="387">
        <f t="shared" si="26"/>
        <v>0</v>
      </c>
      <c r="CJ45" s="387">
        <f t="shared" si="39"/>
        <v>-205.796864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0365-00</v>
      </c>
    </row>
    <row r="46" spans="1:92" ht="15.75" thickBot="1" x14ac:dyDescent="0.3">
      <c r="A46" s="376" t="s">
        <v>161</v>
      </c>
      <c r="B46" s="376" t="s">
        <v>162</v>
      </c>
      <c r="C46" s="376" t="s">
        <v>325</v>
      </c>
      <c r="D46" s="376" t="s">
        <v>266</v>
      </c>
      <c r="E46" s="376" t="s">
        <v>216</v>
      </c>
      <c r="F46" s="377" t="s">
        <v>166</v>
      </c>
      <c r="G46" s="376" t="s">
        <v>267</v>
      </c>
      <c r="H46" s="378"/>
      <c r="I46" s="378"/>
      <c r="J46" s="376" t="s">
        <v>186</v>
      </c>
      <c r="K46" s="376" t="s">
        <v>268</v>
      </c>
      <c r="L46" s="376" t="s">
        <v>269</v>
      </c>
      <c r="M46" s="376" t="s">
        <v>171</v>
      </c>
      <c r="N46" s="376" t="s">
        <v>172</v>
      </c>
      <c r="O46" s="379">
        <v>1</v>
      </c>
      <c r="P46" s="385">
        <v>1</v>
      </c>
      <c r="Q46" s="385">
        <v>1</v>
      </c>
      <c r="R46" s="380">
        <v>80</v>
      </c>
      <c r="S46" s="385">
        <v>1</v>
      </c>
      <c r="T46" s="380">
        <v>30521.599999999999</v>
      </c>
      <c r="U46" s="380">
        <v>78.739999999999995</v>
      </c>
      <c r="V46" s="380">
        <v>15516.97</v>
      </c>
      <c r="W46" s="380">
        <v>40560</v>
      </c>
      <c r="X46" s="380">
        <v>20774.759999999998</v>
      </c>
      <c r="Y46" s="380">
        <v>40560</v>
      </c>
      <c r="Z46" s="380">
        <v>20576.02</v>
      </c>
      <c r="AA46" s="376" t="s">
        <v>326</v>
      </c>
      <c r="AB46" s="376" t="s">
        <v>327</v>
      </c>
      <c r="AC46" s="376" t="s">
        <v>328</v>
      </c>
      <c r="AD46" s="376" t="s">
        <v>279</v>
      </c>
      <c r="AE46" s="376" t="s">
        <v>268</v>
      </c>
      <c r="AF46" s="376" t="s">
        <v>274</v>
      </c>
      <c r="AG46" s="376" t="s">
        <v>178</v>
      </c>
      <c r="AH46" s="381">
        <v>19.5</v>
      </c>
      <c r="AI46" s="379">
        <v>960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385">
        <v>1</v>
      </c>
      <c r="AQ46" s="385">
        <v>1</v>
      </c>
      <c r="AR46" s="383" t="s">
        <v>183</v>
      </c>
      <c r="AS46" s="387">
        <f t="shared" si="27"/>
        <v>1</v>
      </c>
      <c r="AT46">
        <f t="shared" si="28"/>
        <v>1</v>
      </c>
      <c r="AU46" s="387">
        <f>IF(AT46=0,"",IF(AND(AT46=1,M46="F",SUMIF(C2:C206,C46,AS2:AS206)&lt;=1),SUMIF(C2:C206,C46,AS2:AS206),IF(AND(AT46=1,M46="F",SUMIF(C2:C206,C46,AS2:AS206)&gt;1),1,"")))</f>
        <v>1</v>
      </c>
      <c r="AV46" s="387" t="str">
        <f>IF(AT46=0,"",IF(AND(AT46=3,M46="F",SUMIF(C2:C206,C46,AS2:AS206)&lt;=1),SUMIF(C2:C206,C46,AS2:AS206),IF(AND(AT46=3,M46="F",SUMIF(C2:C206,C46,AS2:AS206)&gt;1),1,"")))</f>
        <v/>
      </c>
      <c r="AW46" s="387">
        <f>SUMIF(C2:C206,C46,O2:O206)</f>
        <v>1</v>
      </c>
      <c r="AX46" s="387">
        <f>IF(AND(M46="F",AS46&lt;&gt;0),SUMIF(C2:C206,C46,W2:W206),0)</f>
        <v>40560</v>
      </c>
      <c r="AY46" s="387">
        <f t="shared" si="29"/>
        <v>40560</v>
      </c>
      <c r="AZ46" s="387" t="str">
        <f t="shared" si="30"/>
        <v/>
      </c>
      <c r="BA46" s="387">
        <f t="shared" si="31"/>
        <v>0</v>
      </c>
      <c r="BB46" s="387">
        <f t="shared" si="0"/>
        <v>11650</v>
      </c>
      <c r="BC46" s="387">
        <f t="shared" si="1"/>
        <v>0</v>
      </c>
      <c r="BD46" s="387">
        <f t="shared" si="2"/>
        <v>2514.7199999999998</v>
      </c>
      <c r="BE46" s="387">
        <f t="shared" si="3"/>
        <v>588.12</v>
      </c>
      <c r="BF46" s="387">
        <f t="shared" si="4"/>
        <v>4842.8640000000005</v>
      </c>
      <c r="BG46" s="387">
        <f t="shared" si="5"/>
        <v>292.43760000000003</v>
      </c>
      <c r="BH46" s="387">
        <f t="shared" si="6"/>
        <v>198.744</v>
      </c>
      <c r="BI46" s="387">
        <f t="shared" si="7"/>
        <v>124.11359999999999</v>
      </c>
      <c r="BJ46" s="387">
        <f t="shared" si="8"/>
        <v>563.78399999999999</v>
      </c>
      <c r="BK46" s="387">
        <f t="shared" si="9"/>
        <v>0</v>
      </c>
      <c r="BL46" s="387">
        <f t="shared" si="32"/>
        <v>9124.7831999999999</v>
      </c>
      <c r="BM46" s="387">
        <f t="shared" si="33"/>
        <v>0</v>
      </c>
      <c r="BN46" s="387">
        <f t="shared" si="10"/>
        <v>11650</v>
      </c>
      <c r="BO46" s="387">
        <f t="shared" si="11"/>
        <v>0</v>
      </c>
      <c r="BP46" s="387">
        <f t="shared" si="12"/>
        <v>2514.7199999999998</v>
      </c>
      <c r="BQ46" s="387">
        <f t="shared" si="13"/>
        <v>588.12</v>
      </c>
      <c r="BR46" s="387">
        <f t="shared" si="14"/>
        <v>4842.8640000000005</v>
      </c>
      <c r="BS46" s="387">
        <f t="shared" si="15"/>
        <v>292.43760000000003</v>
      </c>
      <c r="BT46" s="387">
        <f t="shared" si="16"/>
        <v>0</v>
      </c>
      <c r="BU46" s="387">
        <f t="shared" si="17"/>
        <v>124.11359999999999</v>
      </c>
      <c r="BV46" s="387">
        <f t="shared" si="18"/>
        <v>563.78399999999999</v>
      </c>
      <c r="BW46" s="387">
        <f t="shared" si="19"/>
        <v>0</v>
      </c>
      <c r="BX46" s="387">
        <f t="shared" si="34"/>
        <v>8926.0391999999993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0</v>
      </c>
      <c r="CE46" s="387">
        <f t="shared" si="22"/>
        <v>0</v>
      </c>
      <c r="CF46" s="387">
        <f t="shared" si="23"/>
        <v>-198.744</v>
      </c>
      <c r="CG46" s="387">
        <f t="shared" si="24"/>
        <v>0</v>
      </c>
      <c r="CH46" s="387">
        <f t="shared" si="25"/>
        <v>0</v>
      </c>
      <c r="CI46" s="387">
        <f t="shared" si="26"/>
        <v>0</v>
      </c>
      <c r="CJ46" s="387">
        <f t="shared" si="39"/>
        <v>-198.744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0365-00</v>
      </c>
    </row>
    <row r="47" spans="1:92" ht="15.75" thickBot="1" x14ac:dyDescent="0.3">
      <c r="A47" s="376" t="s">
        <v>161</v>
      </c>
      <c r="B47" s="376" t="s">
        <v>162</v>
      </c>
      <c r="C47" s="376" t="s">
        <v>329</v>
      </c>
      <c r="D47" s="376" t="s">
        <v>254</v>
      </c>
      <c r="E47" s="376" t="s">
        <v>216</v>
      </c>
      <c r="F47" s="377" t="s">
        <v>166</v>
      </c>
      <c r="G47" s="376" t="s">
        <v>267</v>
      </c>
      <c r="H47" s="378"/>
      <c r="I47" s="378"/>
      <c r="J47" s="376" t="s">
        <v>242</v>
      </c>
      <c r="K47" s="376" t="s">
        <v>255</v>
      </c>
      <c r="L47" s="376" t="s">
        <v>178</v>
      </c>
      <c r="M47" s="376" t="s">
        <v>207</v>
      </c>
      <c r="N47" s="376" t="s">
        <v>172</v>
      </c>
      <c r="O47" s="379">
        <v>0</v>
      </c>
      <c r="P47" s="385">
        <v>0.6</v>
      </c>
      <c r="Q47" s="385">
        <v>0.6</v>
      </c>
      <c r="R47" s="380">
        <v>80</v>
      </c>
      <c r="S47" s="385">
        <v>0.6</v>
      </c>
      <c r="T47" s="380">
        <v>9013.01</v>
      </c>
      <c r="U47" s="380">
        <v>0</v>
      </c>
      <c r="V47" s="380">
        <v>4787.1400000000003</v>
      </c>
      <c r="W47" s="380">
        <v>19256.64</v>
      </c>
      <c r="X47" s="380">
        <v>8434.4</v>
      </c>
      <c r="Y47" s="380">
        <v>19256.64</v>
      </c>
      <c r="Z47" s="380">
        <v>8338.1200000000008</v>
      </c>
      <c r="AA47" s="378"/>
      <c r="AB47" s="376" t="s">
        <v>45</v>
      </c>
      <c r="AC47" s="376" t="s">
        <v>45</v>
      </c>
      <c r="AD47" s="378"/>
      <c r="AE47" s="378"/>
      <c r="AF47" s="378"/>
      <c r="AG47" s="378"/>
      <c r="AH47" s="379">
        <v>0</v>
      </c>
      <c r="AI47" s="379">
        <v>0</v>
      </c>
      <c r="AJ47" s="378"/>
      <c r="AK47" s="378"/>
      <c r="AL47" s="376" t="s">
        <v>181</v>
      </c>
      <c r="AM47" s="378"/>
      <c r="AN47" s="378"/>
      <c r="AO47" s="379">
        <v>0</v>
      </c>
      <c r="AP47" s="385">
        <v>0</v>
      </c>
      <c r="AQ47" s="385">
        <v>0</v>
      </c>
      <c r="AR47" s="384"/>
      <c r="AS47" s="387">
        <f t="shared" si="27"/>
        <v>0</v>
      </c>
      <c r="AT47">
        <f t="shared" si="28"/>
        <v>0</v>
      </c>
      <c r="AU47" s="387" t="str">
        <f>IF(AT47=0,"",IF(AND(AT47=1,M47="F",SUMIF(C2:C206,C47,AS2:AS206)&lt;=1),SUMIF(C2:C206,C47,AS2:AS206),IF(AND(AT47=1,M47="F",SUMIF(C2:C206,C47,AS2:AS206)&gt;1),1,"")))</f>
        <v/>
      </c>
      <c r="AV47" s="387" t="str">
        <f>IF(AT47=0,"",IF(AND(AT47=3,M47="F",SUMIF(C2:C206,C47,AS2:AS206)&lt;=1),SUMIF(C2:C206,C47,AS2:AS206),IF(AND(AT47=3,M47="F",SUMIF(C2:C206,C47,AS2:AS206)&gt;1),1,"")))</f>
        <v/>
      </c>
      <c r="AW47" s="387">
        <f>SUMIF(C2:C206,C47,O2:O206)</f>
        <v>0</v>
      </c>
      <c r="AX47" s="387">
        <f>IF(AND(M47="F",AS47&lt;&gt;0),SUMIF(C2:C206,C47,W2:W206),0)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0"/>
        <v>0</v>
      </c>
      <c r="BC47" s="387">
        <f t="shared" si="1"/>
        <v>0</v>
      </c>
      <c r="BD47" s="387">
        <f t="shared" si="2"/>
        <v>0</v>
      </c>
      <c r="BE47" s="387">
        <f t="shared" si="3"/>
        <v>0</v>
      </c>
      <c r="BF47" s="387">
        <f t="shared" si="4"/>
        <v>0</v>
      </c>
      <c r="BG47" s="387">
        <f t="shared" si="5"/>
        <v>0</v>
      </c>
      <c r="BH47" s="387">
        <f t="shared" si="6"/>
        <v>0</v>
      </c>
      <c r="BI47" s="387">
        <f t="shared" si="7"/>
        <v>0</v>
      </c>
      <c r="BJ47" s="387">
        <f t="shared" si="8"/>
        <v>0</v>
      </c>
      <c r="BK47" s="387">
        <f t="shared" si="9"/>
        <v>0</v>
      </c>
      <c r="BL47" s="387">
        <f t="shared" si="32"/>
        <v>0</v>
      </c>
      <c r="BM47" s="387">
        <f t="shared" si="33"/>
        <v>0</v>
      </c>
      <c r="BN47" s="387">
        <f t="shared" si="10"/>
        <v>0</v>
      </c>
      <c r="BO47" s="387">
        <f t="shared" si="11"/>
        <v>0</v>
      </c>
      <c r="BP47" s="387">
        <f t="shared" si="12"/>
        <v>0</v>
      </c>
      <c r="BQ47" s="387">
        <f t="shared" si="13"/>
        <v>0</v>
      </c>
      <c r="BR47" s="387">
        <f t="shared" si="14"/>
        <v>0</v>
      </c>
      <c r="BS47" s="387">
        <f t="shared" si="15"/>
        <v>0</v>
      </c>
      <c r="BT47" s="387">
        <f t="shared" si="16"/>
        <v>0</v>
      </c>
      <c r="BU47" s="387">
        <f t="shared" si="17"/>
        <v>0</v>
      </c>
      <c r="BV47" s="387">
        <f t="shared" si="18"/>
        <v>0</v>
      </c>
      <c r="BW47" s="387">
        <f t="shared" si="19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</v>
      </c>
      <c r="CI47" s="387">
        <f t="shared" si="26"/>
        <v>0</v>
      </c>
      <c r="CJ47" s="387">
        <f t="shared" si="39"/>
        <v>0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0365-00</v>
      </c>
    </row>
    <row r="48" spans="1:92" ht="15.75" thickBot="1" x14ac:dyDescent="0.3">
      <c r="A48" s="376" t="s">
        <v>161</v>
      </c>
      <c r="B48" s="376" t="s">
        <v>162</v>
      </c>
      <c r="C48" s="376" t="s">
        <v>330</v>
      </c>
      <c r="D48" s="376" t="s">
        <v>281</v>
      </c>
      <c r="E48" s="376" t="s">
        <v>216</v>
      </c>
      <c r="F48" s="377" t="s">
        <v>166</v>
      </c>
      <c r="G48" s="376" t="s">
        <v>267</v>
      </c>
      <c r="H48" s="378"/>
      <c r="I48" s="378"/>
      <c r="J48" s="376" t="s">
        <v>186</v>
      </c>
      <c r="K48" s="376" t="s">
        <v>282</v>
      </c>
      <c r="L48" s="376" t="s">
        <v>283</v>
      </c>
      <c r="M48" s="376" t="s">
        <v>171</v>
      </c>
      <c r="N48" s="376" t="s">
        <v>172</v>
      </c>
      <c r="O48" s="379">
        <v>1</v>
      </c>
      <c r="P48" s="385">
        <v>1</v>
      </c>
      <c r="Q48" s="385">
        <v>1</v>
      </c>
      <c r="R48" s="380">
        <v>80</v>
      </c>
      <c r="S48" s="385">
        <v>1</v>
      </c>
      <c r="T48" s="380">
        <v>79797.649999999994</v>
      </c>
      <c r="U48" s="380">
        <v>0</v>
      </c>
      <c r="V48" s="380">
        <v>28575.53</v>
      </c>
      <c r="W48" s="380">
        <v>81432</v>
      </c>
      <c r="X48" s="380">
        <v>29969.73</v>
      </c>
      <c r="Y48" s="380">
        <v>81432</v>
      </c>
      <c r="Z48" s="380">
        <v>29570.720000000001</v>
      </c>
      <c r="AA48" s="376" t="s">
        <v>331</v>
      </c>
      <c r="AB48" s="376" t="s">
        <v>332</v>
      </c>
      <c r="AC48" s="376" t="s">
        <v>333</v>
      </c>
      <c r="AD48" s="376" t="s">
        <v>283</v>
      </c>
      <c r="AE48" s="376" t="s">
        <v>282</v>
      </c>
      <c r="AF48" s="376" t="s">
        <v>288</v>
      </c>
      <c r="AG48" s="376" t="s">
        <v>178</v>
      </c>
      <c r="AH48" s="381">
        <v>39.15</v>
      </c>
      <c r="AI48" s="381">
        <v>39930.9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385">
        <v>1</v>
      </c>
      <c r="AQ48" s="385">
        <v>1</v>
      </c>
      <c r="AR48" s="383" t="s">
        <v>183</v>
      </c>
      <c r="AS48" s="387">
        <f t="shared" si="27"/>
        <v>1</v>
      </c>
      <c r="AT48">
        <f t="shared" si="28"/>
        <v>1</v>
      </c>
      <c r="AU48" s="387">
        <f>IF(AT48=0,"",IF(AND(AT48=1,M48="F",SUMIF(C2:C206,C48,AS2:AS206)&lt;=1),SUMIF(C2:C206,C48,AS2:AS206),IF(AND(AT48=1,M48="F",SUMIF(C2:C206,C48,AS2:AS206)&gt;1),1,"")))</f>
        <v>1</v>
      </c>
      <c r="AV48" s="387" t="str">
        <f>IF(AT48=0,"",IF(AND(AT48=3,M48="F",SUMIF(C2:C206,C48,AS2:AS206)&lt;=1),SUMIF(C2:C206,C48,AS2:AS206),IF(AND(AT48=3,M48="F",SUMIF(C2:C206,C48,AS2:AS206)&gt;1),1,"")))</f>
        <v/>
      </c>
      <c r="AW48" s="387">
        <f>SUMIF(C2:C206,C48,O2:O206)</f>
        <v>1</v>
      </c>
      <c r="AX48" s="387">
        <f>IF(AND(M48="F",AS48&lt;&gt;0),SUMIF(C2:C206,C48,W2:W206),0)</f>
        <v>81432</v>
      </c>
      <c r="AY48" s="387">
        <f t="shared" si="29"/>
        <v>81432</v>
      </c>
      <c r="AZ48" s="387" t="str">
        <f t="shared" si="30"/>
        <v/>
      </c>
      <c r="BA48" s="387">
        <f t="shared" si="31"/>
        <v>0</v>
      </c>
      <c r="BB48" s="387">
        <f t="shared" si="0"/>
        <v>11650</v>
      </c>
      <c r="BC48" s="387">
        <f t="shared" si="1"/>
        <v>0</v>
      </c>
      <c r="BD48" s="387">
        <f t="shared" si="2"/>
        <v>5048.7839999999997</v>
      </c>
      <c r="BE48" s="387">
        <f t="shared" si="3"/>
        <v>1180.7640000000001</v>
      </c>
      <c r="BF48" s="387">
        <f t="shared" si="4"/>
        <v>9722.9808000000012</v>
      </c>
      <c r="BG48" s="387">
        <f t="shared" si="5"/>
        <v>587.12472000000002</v>
      </c>
      <c r="BH48" s="387">
        <f t="shared" si="6"/>
        <v>399.01679999999999</v>
      </c>
      <c r="BI48" s="387">
        <f t="shared" si="7"/>
        <v>249.18191999999999</v>
      </c>
      <c r="BJ48" s="387">
        <f t="shared" si="8"/>
        <v>1131.9048</v>
      </c>
      <c r="BK48" s="387">
        <f t="shared" si="9"/>
        <v>0</v>
      </c>
      <c r="BL48" s="387">
        <f t="shared" si="32"/>
        <v>18319.75704</v>
      </c>
      <c r="BM48" s="387">
        <f t="shared" si="33"/>
        <v>0</v>
      </c>
      <c r="BN48" s="387">
        <f t="shared" si="10"/>
        <v>11650</v>
      </c>
      <c r="BO48" s="387">
        <f t="shared" si="11"/>
        <v>0</v>
      </c>
      <c r="BP48" s="387">
        <f t="shared" si="12"/>
        <v>5048.7839999999997</v>
      </c>
      <c r="BQ48" s="387">
        <f t="shared" si="13"/>
        <v>1180.7640000000001</v>
      </c>
      <c r="BR48" s="387">
        <f t="shared" si="14"/>
        <v>9722.9808000000012</v>
      </c>
      <c r="BS48" s="387">
        <f t="shared" si="15"/>
        <v>587.12472000000002</v>
      </c>
      <c r="BT48" s="387">
        <f t="shared" si="16"/>
        <v>0</v>
      </c>
      <c r="BU48" s="387">
        <f t="shared" si="17"/>
        <v>249.18191999999999</v>
      </c>
      <c r="BV48" s="387">
        <f t="shared" si="18"/>
        <v>1131.9048</v>
      </c>
      <c r="BW48" s="387">
        <f t="shared" si="19"/>
        <v>0</v>
      </c>
      <c r="BX48" s="387">
        <f t="shared" si="34"/>
        <v>17920.740239999999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0</v>
      </c>
      <c r="CE48" s="387">
        <f t="shared" si="22"/>
        <v>0</v>
      </c>
      <c r="CF48" s="387">
        <f t="shared" si="23"/>
        <v>-399.01679999999999</v>
      </c>
      <c r="CG48" s="387">
        <f t="shared" si="24"/>
        <v>0</v>
      </c>
      <c r="CH48" s="387">
        <f t="shared" si="25"/>
        <v>0</v>
      </c>
      <c r="CI48" s="387">
        <f t="shared" si="26"/>
        <v>0</v>
      </c>
      <c r="CJ48" s="387">
        <f t="shared" si="39"/>
        <v>-399.01679999999999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0365-00</v>
      </c>
    </row>
    <row r="49" spans="1:92" ht="15.75" thickBot="1" x14ac:dyDescent="0.3">
      <c r="A49" s="376" t="s">
        <v>161</v>
      </c>
      <c r="B49" s="376" t="s">
        <v>162</v>
      </c>
      <c r="C49" s="376" t="s">
        <v>334</v>
      </c>
      <c r="D49" s="376" t="s">
        <v>266</v>
      </c>
      <c r="E49" s="376" t="s">
        <v>216</v>
      </c>
      <c r="F49" s="377" t="s">
        <v>166</v>
      </c>
      <c r="G49" s="376" t="s">
        <v>267</v>
      </c>
      <c r="H49" s="378"/>
      <c r="I49" s="378"/>
      <c r="J49" s="376" t="s">
        <v>186</v>
      </c>
      <c r="K49" s="376" t="s">
        <v>268</v>
      </c>
      <c r="L49" s="376" t="s">
        <v>269</v>
      </c>
      <c r="M49" s="376" t="s">
        <v>171</v>
      </c>
      <c r="N49" s="376" t="s">
        <v>172</v>
      </c>
      <c r="O49" s="379">
        <v>1</v>
      </c>
      <c r="P49" s="385">
        <v>1</v>
      </c>
      <c r="Q49" s="385">
        <v>1</v>
      </c>
      <c r="R49" s="380">
        <v>80</v>
      </c>
      <c r="S49" s="385">
        <v>1</v>
      </c>
      <c r="T49" s="380">
        <v>42836.800000000003</v>
      </c>
      <c r="U49" s="380">
        <v>0</v>
      </c>
      <c r="V49" s="380">
        <v>20993.89</v>
      </c>
      <c r="W49" s="380">
        <v>44345.599999999999</v>
      </c>
      <c r="X49" s="380">
        <v>21626.400000000001</v>
      </c>
      <c r="Y49" s="380">
        <v>44345.599999999999</v>
      </c>
      <c r="Z49" s="380">
        <v>21409.11</v>
      </c>
      <c r="AA49" s="376" t="s">
        <v>335</v>
      </c>
      <c r="AB49" s="376" t="s">
        <v>336</v>
      </c>
      <c r="AC49" s="376" t="s">
        <v>337</v>
      </c>
      <c r="AD49" s="376" t="s">
        <v>338</v>
      </c>
      <c r="AE49" s="376" t="s">
        <v>268</v>
      </c>
      <c r="AF49" s="376" t="s">
        <v>274</v>
      </c>
      <c r="AG49" s="376" t="s">
        <v>178</v>
      </c>
      <c r="AH49" s="381">
        <v>21.32</v>
      </c>
      <c r="AI49" s="381">
        <v>11086.6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385">
        <v>1</v>
      </c>
      <c r="AQ49" s="385">
        <v>1</v>
      </c>
      <c r="AR49" s="383" t="s">
        <v>183</v>
      </c>
      <c r="AS49" s="387">
        <f t="shared" si="27"/>
        <v>1</v>
      </c>
      <c r="AT49">
        <f t="shared" si="28"/>
        <v>1</v>
      </c>
      <c r="AU49" s="387">
        <f>IF(AT49=0,"",IF(AND(AT49=1,M49="F",SUMIF(C2:C206,C49,AS2:AS206)&lt;=1),SUMIF(C2:C206,C49,AS2:AS206),IF(AND(AT49=1,M49="F",SUMIF(C2:C206,C49,AS2:AS206)&gt;1),1,"")))</f>
        <v>1</v>
      </c>
      <c r="AV49" s="387" t="str">
        <f>IF(AT49=0,"",IF(AND(AT49=3,M49="F",SUMIF(C2:C206,C49,AS2:AS206)&lt;=1),SUMIF(C2:C206,C49,AS2:AS206),IF(AND(AT49=3,M49="F",SUMIF(C2:C206,C49,AS2:AS206)&gt;1),1,"")))</f>
        <v/>
      </c>
      <c r="AW49" s="387">
        <f>SUMIF(C2:C206,C49,O2:O206)</f>
        <v>1</v>
      </c>
      <c r="AX49" s="387">
        <f>IF(AND(M49="F",AS49&lt;&gt;0),SUMIF(C2:C206,C49,W2:W206),0)</f>
        <v>44345.599999999999</v>
      </c>
      <c r="AY49" s="387">
        <f t="shared" si="29"/>
        <v>44345.599999999999</v>
      </c>
      <c r="AZ49" s="387" t="str">
        <f t="shared" si="30"/>
        <v/>
      </c>
      <c r="BA49" s="387">
        <f t="shared" si="31"/>
        <v>0</v>
      </c>
      <c r="BB49" s="387">
        <f t="shared" si="0"/>
        <v>11650</v>
      </c>
      <c r="BC49" s="387">
        <f t="shared" si="1"/>
        <v>0</v>
      </c>
      <c r="BD49" s="387">
        <f t="shared" si="2"/>
        <v>2749.4272000000001</v>
      </c>
      <c r="BE49" s="387">
        <f t="shared" si="3"/>
        <v>643.01120000000003</v>
      </c>
      <c r="BF49" s="387">
        <f t="shared" si="4"/>
        <v>5294.8646399999998</v>
      </c>
      <c r="BG49" s="387">
        <f t="shared" si="5"/>
        <v>319.73177600000002</v>
      </c>
      <c r="BH49" s="387">
        <f t="shared" si="6"/>
        <v>217.29343999999998</v>
      </c>
      <c r="BI49" s="387">
        <f t="shared" si="7"/>
        <v>135.69753599999999</v>
      </c>
      <c r="BJ49" s="387">
        <f t="shared" si="8"/>
        <v>616.40383999999995</v>
      </c>
      <c r="BK49" s="387">
        <f t="shared" si="9"/>
        <v>0</v>
      </c>
      <c r="BL49" s="387">
        <f t="shared" si="32"/>
        <v>9976.4296319999994</v>
      </c>
      <c r="BM49" s="387">
        <f t="shared" si="33"/>
        <v>0</v>
      </c>
      <c r="BN49" s="387">
        <f t="shared" si="10"/>
        <v>11650</v>
      </c>
      <c r="BO49" s="387">
        <f t="shared" si="11"/>
        <v>0</v>
      </c>
      <c r="BP49" s="387">
        <f t="shared" si="12"/>
        <v>2749.4272000000001</v>
      </c>
      <c r="BQ49" s="387">
        <f t="shared" si="13"/>
        <v>643.01120000000003</v>
      </c>
      <c r="BR49" s="387">
        <f t="shared" si="14"/>
        <v>5294.8646399999998</v>
      </c>
      <c r="BS49" s="387">
        <f t="shared" si="15"/>
        <v>319.73177600000002</v>
      </c>
      <c r="BT49" s="387">
        <f t="shared" si="16"/>
        <v>0</v>
      </c>
      <c r="BU49" s="387">
        <f t="shared" si="17"/>
        <v>135.69753599999999</v>
      </c>
      <c r="BV49" s="387">
        <f t="shared" si="18"/>
        <v>616.40383999999995</v>
      </c>
      <c r="BW49" s="387">
        <f t="shared" si="19"/>
        <v>0</v>
      </c>
      <c r="BX49" s="387">
        <f t="shared" si="34"/>
        <v>9759.1361919999981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0</v>
      </c>
      <c r="CE49" s="387">
        <f t="shared" si="22"/>
        <v>0</v>
      </c>
      <c r="CF49" s="387">
        <f t="shared" si="23"/>
        <v>-217.29343999999998</v>
      </c>
      <c r="CG49" s="387">
        <f t="shared" si="24"/>
        <v>0</v>
      </c>
      <c r="CH49" s="387">
        <f t="shared" si="25"/>
        <v>0</v>
      </c>
      <c r="CI49" s="387">
        <f t="shared" si="26"/>
        <v>0</v>
      </c>
      <c r="CJ49" s="387">
        <f t="shared" si="39"/>
        <v>-217.29343999999998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0365-00</v>
      </c>
    </row>
    <row r="50" spans="1:92" ht="15.75" thickBot="1" x14ac:dyDescent="0.3">
      <c r="A50" s="376" t="s">
        <v>161</v>
      </c>
      <c r="B50" s="376" t="s">
        <v>162</v>
      </c>
      <c r="C50" s="376" t="s">
        <v>339</v>
      </c>
      <c r="D50" s="376" t="s">
        <v>266</v>
      </c>
      <c r="E50" s="376" t="s">
        <v>216</v>
      </c>
      <c r="F50" s="377" t="s">
        <v>166</v>
      </c>
      <c r="G50" s="376" t="s">
        <v>267</v>
      </c>
      <c r="H50" s="378"/>
      <c r="I50" s="378"/>
      <c r="J50" s="376" t="s">
        <v>186</v>
      </c>
      <c r="K50" s="376" t="s">
        <v>268</v>
      </c>
      <c r="L50" s="376" t="s">
        <v>269</v>
      </c>
      <c r="M50" s="376" t="s">
        <v>171</v>
      </c>
      <c r="N50" s="376" t="s">
        <v>172</v>
      </c>
      <c r="O50" s="379">
        <v>1</v>
      </c>
      <c r="P50" s="385">
        <v>1</v>
      </c>
      <c r="Q50" s="385">
        <v>1</v>
      </c>
      <c r="R50" s="380">
        <v>80</v>
      </c>
      <c r="S50" s="385">
        <v>1</v>
      </c>
      <c r="T50" s="380">
        <v>44860.800000000003</v>
      </c>
      <c r="U50" s="380">
        <v>0</v>
      </c>
      <c r="V50" s="380">
        <v>21396.799999999999</v>
      </c>
      <c r="W50" s="380">
        <v>44553.599999999999</v>
      </c>
      <c r="X50" s="380">
        <v>21673.19</v>
      </c>
      <c r="Y50" s="380">
        <v>44553.599999999999</v>
      </c>
      <c r="Z50" s="380">
        <v>21454.880000000001</v>
      </c>
      <c r="AA50" s="376" t="s">
        <v>340</v>
      </c>
      <c r="AB50" s="376" t="s">
        <v>341</v>
      </c>
      <c r="AC50" s="376" t="s">
        <v>342</v>
      </c>
      <c r="AD50" s="376" t="s">
        <v>343</v>
      </c>
      <c r="AE50" s="376" t="s">
        <v>268</v>
      </c>
      <c r="AF50" s="376" t="s">
        <v>274</v>
      </c>
      <c r="AG50" s="376" t="s">
        <v>178</v>
      </c>
      <c r="AH50" s="381">
        <v>21.42</v>
      </c>
      <c r="AI50" s="381">
        <v>4006.5</v>
      </c>
      <c r="AJ50" s="376" t="s">
        <v>179</v>
      </c>
      <c r="AK50" s="376" t="s">
        <v>180</v>
      </c>
      <c r="AL50" s="376" t="s">
        <v>181</v>
      </c>
      <c r="AM50" s="376" t="s">
        <v>182</v>
      </c>
      <c r="AN50" s="376" t="s">
        <v>68</v>
      </c>
      <c r="AO50" s="379">
        <v>80</v>
      </c>
      <c r="AP50" s="385">
        <v>1</v>
      </c>
      <c r="AQ50" s="385">
        <v>1</v>
      </c>
      <c r="AR50" s="383" t="s">
        <v>183</v>
      </c>
      <c r="AS50" s="387">
        <f t="shared" si="27"/>
        <v>1</v>
      </c>
      <c r="AT50">
        <f t="shared" si="28"/>
        <v>1</v>
      </c>
      <c r="AU50" s="387">
        <f>IF(AT50=0,"",IF(AND(AT50=1,M50="F",SUMIF(C2:C206,C50,AS2:AS206)&lt;=1),SUMIF(C2:C206,C50,AS2:AS206),IF(AND(AT50=1,M50="F",SUMIF(C2:C206,C50,AS2:AS206)&gt;1),1,"")))</f>
        <v>1</v>
      </c>
      <c r="AV50" s="387" t="str">
        <f>IF(AT50=0,"",IF(AND(AT50=3,M50="F",SUMIF(C2:C206,C50,AS2:AS206)&lt;=1),SUMIF(C2:C206,C50,AS2:AS206),IF(AND(AT50=3,M50="F",SUMIF(C2:C206,C50,AS2:AS206)&gt;1),1,"")))</f>
        <v/>
      </c>
      <c r="AW50" s="387">
        <f>SUMIF(C2:C206,C50,O2:O206)</f>
        <v>1</v>
      </c>
      <c r="AX50" s="387">
        <f>IF(AND(M50="F",AS50&lt;&gt;0),SUMIF(C2:C206,C50,W2:W206),0)</f>
        <v>44553.599999999999</v>
      </c>
      <c r="AY50" s="387">
        <f t="shared" si="29"/>
        <v>44553.599999999999</v>
      </c>
      <c r="AZ50" s="387" t="str">
        <f t="shared" si="30"/>
        <v/>
      </c>
      <c r="BA50" s="387">
        <f t="shared" si="31"/>
        <v>0</v>
      </c>
      <c r="BB50" s="387">
        <f t="shared" si="0"/>
        <v>11650</v>
      </c>
      <c r="BC50" s="387">
        <f t="shared" si="1"/>
        <v>0</v>
      </c>
      <c r="BD50" s="387">
        <f t="shared" si="2"/>
        <v>2762.3231999999998</v>
      </c>
      <c r="BE50" s="387">
        <f t="shared" si="3"/>
        <v>646.02719999999999</v>
      </c>
      <c r="BF50" s="387">
        <f t="shared" si="4"/>
        <v>5319.6998400000002</v>
      </c>
      <c r="BG50" s="387">
        <f t="shared" si="5"/>
        <v>321.23145599999998</v>
      </c>
      <c r="BH50" s="387">
        <f t="shared" si="6"/>
        <v>218.31263999999999</v>
      </c>
      <c r="BI50" s="387">
        <f t="shared" si="7"/>
        <v>136.33401599999999</v>
      </c>
      <c r="BJ50" s="387">
        <f t="shared" si="8"/>
        <v>619.29503999999997</v>
      </c>
      <c r="BK50" s="387">
        <f t="shared" si="9"/>
        <v>0</v>
      </c>
      <c r="BL50" s="387">
        <f t="shared" si="32"/>
        <v>10023.223392</v>
      </c>
      <c r="BM50" s="387">
        <f t="shared" si="33"/>
        <v>0</v>
      </c>
      <c r="BN50" s="387">
        <f t="shared" si="10"/>
        <v>11650</v>
      </c>
      <c r="BO50" s="387">
        <f t="shared" si="11"/>
        <v>0</v>
      </c>
      <c r="BP50" s="387">
        <f t="shared" si="12"/>
        <v>2762.3231999999998</v>
      </c>
      <c r="BQ50" s="387">
        <f t="shared" si="13"/>
        <v>646.02719999999999</v>
      </c>
      <c r="BR50" s="387">
        <f t="shared" si="14"/>
        <v>5319.6998400000002</v>
      </c>
      <c r="BS50" s="387">
        <f t="shared" si="15"/>
        <v>321.23145599999998</v>
      </c>
      <c r="BT50" s="387">
        <f t="shared" si="16"/>
        <v>0</v>
      </c>
      <c r="BU50" s="387">
        <f t="shared" si="17"/>
        <v>136.33401599999999</v>
      </c>
      <c r="BV50" s="387">
        <f t="shared" si="18"/>
        <v>619.29503999999997</v>
      </c>
      <c r="BW50" s="387">
        <f t="shared" si="19"/>
        <v>0</v>
      </c>
      <c r="BX50" s="387">
        <f t="shared" si="34"/>
        <v>9804.9107519999998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-218.31263999999999</v>
      </c>
      <c r="CG50" s="387">
        <f t="shared" si="24"/>
        <v>0</v>
      </c>
      <c r="CH50" s="387">
        <f t="shared" si="25"/>
        <v>0</v>
      </c>
      <c r="CI50" s="387">
        <f t="shared" si="26"/>
        <v>0</v>
      </c>
      <c r="CJ50" s="387">
        <f t="shared" si="39"/>
        <v>-218.31263999999999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0365-00</v>
      </c>
    </row>
    <row r="51" spans="1:92" ht="15.75" thickBot="1" x14ac:dyDescent="0.3">
      <c r="A51" s="376" t="s">
        <v>161</v>
      </c>
      <c r="B51" s="376" t="s">
        <v>162</v>
      </c>
      <c r="C51" s="376" t="s">
        <v>344</v>
      </c>
      <c r="D51" s="376" t="s">
        <v>266</v>
      </c>
      <c r="E51" s="376" t="s">
        <v>216</v>
      </c>
      <c r="F51" s="377" t="s">
        <v>166</v>
      </c>
      <c r="G51" s="376" t="s">
        <v>267</v>
      </c>
      <c r="H51" s="378"/>
      <c r="I51" s="378"/>
      <c r="J51" s="376" t="s">
        <v>186</v>
      </c>
      <c r="K51" s="376" t="s">
        <v>268</v>
      </c>
      <c r="L51" s="376" t="s">
        <v>269</v>
      </c>
      <c r="M51" s="376" t="s">
        <v>171</v>
      </c>
      <c r="N51" s="376" t="s">
        <v>172</v>
      </c>
      <c r="O51" s="379">
        <v>1</v>
      </c>
      <c r="P51" s="385">
        <v>1</v>
      </c>
      <c r="Q51" s="385">
        <v>1</v>
      </c>
      <c r="R51" s="380">
        <v>80</v>
      </c>
      <c r="S51" s="385">
        <v>1</v>
      </c>
      <c r="T51" s="380">
        <v>57744.800000000003</v>
      </c>
      <c r="U51" s="380">
        <v>934.57</v>
      </c>
      <c r="V51" s="380">
        <v>24083.14</v>
      </c>
      <c r="W51" s="380">
        <v>59529.599999999999</v>
      </c>
      <c r="X51" s="380">
        <v>25042.34</v>
      </c>
      <c r="Y51" s="380">
        <v>59529.599999999999</v>
      </c>
      <c r="Z51" s="380">
        <v>24750.65</v>
      </c>
      <c r="AA51" s="376" t="s">
        <v>345</v>
      </c>
      <c r="AB51" s="376" t="s">
        <v>346</v>
      </c>
      <c r="AC51" s="376" t="s">
        <v>347</v>
      </c>
      <c r="AD51" s="376" t="s">
        <v>180</v>
      </c>
      <c r="AE51" s="376" t="s">
        <v>268</v>
      </c>
      <c r="AF51" s="376" t="s">
        <v>274</v>
      </c>
      <c r="AG51" s="376" t="s">
        <v>178</v>
      </c>
      <c r="AH51" s="381">
        <v>28.62</v>
      </c>
      <c r="AI51" s="381">
        <v>61036.800000000003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385">
        <v>1</v>
      </c>
      <c r="AQ51" s="385">
        <v>1</v>
      </c>
      <c r="AR51" s="383" t="s">
        <v>183</v>
      </c>
      <c r="AS51" s="387">
        <f t="shared" si="27"/>
        <v>1</v>
      </c>
      <c r="AT51">
        <f t="shared" si="28"/>
        <v>1</v>
      </c>
      <c r="AU51" s="387">
        <f>IF(AT51=0,"",IF(AND(AT51=1,M51="F",SUMIF(C2:C206,C51,AS2:AS206)&lt;=1),SUMIF(C2:C206,C51,AS2:AS206),IF(AND(AT51=1,M51="F",SUMIF(C2:C206,C51,AS2:AS206)&gt;1),1,"")))</f>
        <v>1</v>
      </c>
      <c r="AV51" s="387" t="str">
        <f>IF(AT51=0,"",IF(AND(AT51=3,M51="F",SUMIF(C2:C206,C51,AS2:AS206)&lt;=1),SUMIF(C2:C206,C51,AS2:AS206),IF(AND(AT51=3,M51="F",SUMIF(C2:C206,C51,AS2:AS206)&gt;1),1,"")))</f>
        <v/>
      </c>
      <c r="AW51" s="387">
        <f>SUMIF(C2:C206,C51,O2:O206)</f>
        <v>1</v>
      </c>
      <c r="AX51" s="387">
        <f>IF(AND(M51="F",AS51&lt;&gt;0),SUMIF(C2:C206,C51,W2:W206),0)</f>
        <v>59529.599999999999</v>
      </c>
      <c r="AY51" s="387">
        <f t="shared" si="29"/>
        <v>59529.599999999999</v>
      </c>
      <c r="AZ51" s="387" t="str">
        <f t="shared" si="30"/>
        <v/>
      </c>
      <c r="BA51" s="387">
        <f t="shared" si="31"/>
        <v>0</v>
      </c>
      <c r="BB51" s="387">
        <f t="shared" si="0"/>
        <v>11650</v>
      </c>
      <c r="BC51" s="387">
        <f t="shared" si="1"/>
        <v>0</v>
      </c>
      <c r="BD51" s="387">
        <f t="shared" si="2"/>
        <v>3690.8352</v>
      </c>
      <c r="BE51" s="387">
        <f t="shared" si="3"/>
        <v>863.17920000000004</v>
      </c>
      <c r="BF51" s="387">
        <f t="shared" si="4"/>
        <v>7107.8342400000001</v>
      </c>
      <c r="BG51" s="387">
        <f t="shared" si="5"/>
        <v>429.208416</v>
      </c>
      <c r="BH51" s="387">
        <f t="shared" si="6"/>
        <v>291.69504000000001</v>
      </c>
      <c r="BI51" s="387">
        <f t="shared" si="7"/>
        <v>182.16057599999999</v>
      </c>
      <c r="BJ51" s="387">
        <f t="shared" si="8"/>
        <v>827.46143999999993</v>
      </c>
      <c r="BK51" s="387">
        <f t="shared" si="9"/>
        <v>0</v>
      </c>
      <c r="BL51" s="387">
        <f t="shared" si="32"/>
        <v>13392.374112</v>
      </c>
      <c r="BM51" s="387">
        <f t="shared" si="33"/>
        <v>0</v>
      </c>
      <c r="BN51" s="387">
        <f t="shared" si="10"/>
        <v>11650</v>
      </c>
      <c r="BO51" s="387">
        <f t="shared" si="11"/>
        <v>0</v>
      </c>
      <c r="BP51" s="387">
        <f t="shared" si="12"/>
        <v>3690.8352</v>
      </c>
      <c r="BQ51" s="387">
        <f t="shared" si="13"/>
        <v>863.17920000000004</v>
      </c>
      <c r="BR51" s="387">
        <f t="shared" si="14"/>
        <v>7107.8342400000001</v>
      </c>
      <c r="BS51" s="387">
        <f t="shared" si="15"/>
        <v>429.208416</v>
      </c>
      <c r="BT51" s="387">
        <f t="shared" si="16"/>
        <v>0</v>
      </c>
      <c r="BU51" s="387">
        <f t="shared" si="17"/>
        <v>182.16057599999999</v>
      </c>
      <c r="BV51" s="387">
        <f t="shared" si="18"/>
        <v>827.46143999999993</v>
      </c>
      <c r="BW51" s="387">
        <f t="shared" si="19"/>
        <v>0</v>
      </c>
      <c r="BX51" s="387">
        <f t="shared" si="34"/>
        <v>13100.679071999999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0</v>
      </c>
      <c r="CE51" s="387">
        <f t="shared" si="22"/>
        <v>0</v>
      </c>
      <c r="CF51" s="387">
        <f t="shared" si="23"/>
        <v>-291.69504000000001</v>
      </c>
      <c r="CG51" s="387">
        <f t="shared" si="24"/>
        <v>0</v>
      </c>
      <c r="CH51" s="387">
        <f t="shared" si="25"/>
        <v>0</v>
      </c>
      <c r="CI51" s="387">
        <f t="shared" si="26"/>
        <v>0</v>
      </c>
      <c r="CJ51" s="387">
        <f t="shared" si="39"/>
        <v>-291.69504000000001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0365-00</v>
      </c>
    </row>
    <row r="52" spans="1:92" ht="15.75" thickBot="1" x14ac:dyDescent="0.3">
      <c r="A52" s="376" t="s">
        <v>161</v>
      </c>
      <c r="B52" s="376" t="s">
        <v>162</v>
      </c>
      <c r="C52" s="376" t="s">
        <v>348</v>
      </c>
      <c r="D52" s="376" t="s">
        <v>281</v>
      </c>
      <c r="E52" s="376" t="s">
        <v>216</v>
      </c>
      <c r="F52" s="377" t="s">
        <v>166</v>
      </c>
      <c r="G52" s="376" t="s">
        <v>267</v>
      </c>
      <c r="H52" s="378"/>
      <c r="I52" s="378"/>
      <c r="J52" s="376" t="s">
        <v>186</v>
      </c>
      <c r="K52" s="376" t="s">
        <v>282</v>
      </c>
      <c r="L52" s="376" t="s">
        <v>283</v>
      </c>
      <c r="M52" s="376" t="s">
        <v>171</v>
      </c>
      <c r="N52" s="376" t="s">
        <v>172</v>
      </c>
      <c r="O52" s="379">
        <v>1</v>
      </c>
      <c r="P52" s="385">
        <v>1</v>
      </c>
      <c r="Q52" s="385">
        <v>1</v>
      </c>
      <c r="R52" s="380">
        <v>80</v>
      </c>
      <c r="S52" s="385">
        <v>1</v>
      </c>
      <c r="T52" s="380">
        <v>66448.81</v>
      </c>
      <c r="U52" s="380">
        <v>0</v>
      </c>
      <c r="V52" s="380">
        <v>25766.47</v>
      </c>
      <c r="W52" s="380">
        <v>68785.600000000006</v>
      </c>
      <c r="X52" s="380">
        <v>27124.66</v>
      </c>
      <c r="Y52" s="380">
        <v>68785.600000000006</v>
      </c>
      <c r="Z52" s="380">
        <v>26787.62</v>
      </c>
      <c r="AA52" s="376" t="s">
        <v>349</v>
      </c>
      <c r="AB52" s="376" t="s">
        <v>350</v>
      </c>
      <c r="AC52" s="376" t="s">
        <v>351</v>
      </c>
      <c r="AD52" s="376" t="s">
        <v>188</v>
      </c>
      <c r="AE52" s="376" t="s">
        <v>282</v>
      </c>
      <c r="AF52" s="376" t="s">
        <v>288</v>
      </c>
      <c r="AG52" s="376" t="s">
        <v>178</v>
      </c>
      <c r="AH52" s="381">
        <v>33.07</v>
      </c>
      <c r="AI52" s="379">
        <v>5444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385">
        <v>1</v>
      </c>
      <c r="AQ52" s="385">
        <v>1</v>
      </c>
      <c r="AR52" s="383" t="s">
        <v>183</v>
      </c>
      <c r="AS52" s="387">
        <f t="shared" si="27"/>
        <v>1</v>
      </c>
      <c r="AT52">
        <f t="shared" si="28"/>
        <v>1</v>
      </c>
      <c r="AU52" s="387">
        <f>IF(AT52=0,"",IF(AND(AT52=1,M52="F",SUMIF(C2:C206,C52,AS2:AS206)&lt;=1),SUMIF(C2:C206,C52,AS2:AS206),IF(AND(AT52=1,M52="F",SUMIF(C2:C206,C52,AS2:AS206)&gt;1),1,"")))</f>
        <v>1</v>
      </c>
      <c r="AV52" s="387" t="str">
        <f>IF(AT52=0,"",IF(AND(AT52=3,M52="F",SUMIF(C2:C206,C52,AS2:AS206)&lt;=1),SUMIF(C2:C206,C52,AS2:AS206),IF(AND(AT52=3,M52="F",SUMIF(C2:C206,C52,AS2:AS206)&gt;1),1,"")))</f>
        <v/>
      </c>
      <c r="AW52" s="387">
        <f>SUMIF(C2:C206,C52,O2:O206)</f>
        <v>1</v>
      </c>
      <c r="AX52" s="387">
        <f>IF(AND(M52="F",AS52&lt;&gt;0),SUMIF(C2:C206,C52,W2:W206),0)</f>
        <v>68785.600000000006</v>
      </c>
      <c r="AY52" s="387">
        <f t="shared" si="29"/>
        <v>68785.600000000006</v>
      </c>
      <c r="AZ52" s="387" t="str">
        <f t="shared" si="30"/>
        <v/>
      </c>
      <c r="BA52" s="387">
        <f t="shared" si="31"/>
        <v>0</v>
      </c>
      <c r="BB52" s="387">
        <f t="shared" si="0"/>
        <v>11650</v>
      </c>
      <c r="BC52" s="387">
        <f t="shared" si="1"/>
        <v>0</v>
      </c>
      <c r="BD52" s="387">
        <f t="shared" si="2"/>
        <v>4264.7072000000007</v>
      </c>
      <c r="BE52" s="387">
        <f t="shared" si="3"/>
        <v>997.39120000000014</v>
      </c>
      <c r="BF52" s="387">
        <f t="shared" si="4"/>
        <v>8213.000640000002</v>
      </c>
      <c r="BG52" s="387">
        <f t="shared" si="5"/>
        <v>495.94417600000008</v>
      </c>
      <c r="BH52" s="387">
        <f t="shared" si="6"/>
        <v>337.04944</v>
      </c>
      <c r="BI52" s="387">
        <f t="shared" si="7"/>
        <v>210.483936</v>
      </c>
      <c r="BJ52" s="387">
        <f t="shared" si="8"/>
        <v>956.11984000000007</v>
      </c>
      <c r="BK52" s="387">
        <f t="shared" si="9"/>
        <v>0</v>
      </c>
      <c r="BL52" s="387">
        <f t="shared" si="32"/>
        <v>15474.696432000004</v>
      </c>
      <c r="BM52" s="387">
        <f t="shared" si="33"/>
        <v>0</v>
      </c>
      <c r="BN52" s="387">
        <f t="shared" si="10"/>
        <v>11650</v>
      </c>
      <c r="BO52" s="387">
        <f t="shared" si="11"/>
        <v>0</v>
      </c>
      <c r="BP52" s="387">
        <f t="shared" si="12"/>
        <v>4264.7072000000007</v>
      </c>
      <c r="BQ52" s="387">
        <f t="shared" si="13"/>
        <v>997.39120000000014</v>
      </c>
      <c r="BR52" s="387">
        <f t="shared" si="14"/>
        <v>8213.000640000002</v>
      </c>
      <c r="BS52" s="387">
        <f t="shared" si="15"/>
        <v>495.94417600000008</v>
      </c>
      <c r="BT52" s="387">
        <f t="shared" si="16"/>
        <v>0</v>
      </c>
      <c r="BU52" s="387">
        <f t="shared" si="17"/>
        <v>210.483936</v>
      </c>
      <c r="BV52" s="387">
        <f t="shared" si="18"/>
        <v>956.11984000000007</v>
      </c>
      <c r="BW52" s="387">
        <f t="shared" si="19"/>
        <v>0</v>
      </c>
      <c r="BX52" s="387">
        <f t="shared" si="34"/>
        <v>15137.646992000004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0</v>
      </c>
      <c r="CE52" s="387">
        <f t="shared" si="22"/>
        <v>0</v>
      </c>
      <c r="CF52" s="387">
        <f t="shared" si="23"/>
        <v>-337.04944</v>
      </c>
      <c r="CG52" s="387">
        <f t="shared" si="24"/>
        <v>0</v>
      </c>
      <c r="CH52" s="387">
        <f t="shared" si="25"/>
        <v>0</v>
      </c>
      <c r="CI52" s="387">
        <f t="shared" si="26"/>
        <v>0</v>
      </c>
      <c r="CJ52" s="387">
        <f t="shared" si="39"/>
        <v>-337.04944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0365-00</v>
      </c>
    </row>
    <row r="53" spans="1:92" ht="15.75" thickBot="1" x14ac:dyDescent="0.3">
      <c r="A53" s="376" t="s">
        <v>161</v>
      </c>
      <c r="B53" s="376" t="s">
        <v>162</v>
      </c>
      <c r="C53" s="376" t="s">
        <v>352</v>
      </c>
      <c r="D53" s="376" t="s">
        <v>353</v>
      </c>
      <c r="E53" s="376" t="s">
        <v>216</v>
      </c>
      <c r="F53" s="377" t="s">
        <v>166</v>
      </c>
      <c r="G53" s="376" t="s">
        <v>267</v>
      </c>
      <c r="H53" s="378"/>
      <c r="I53" s="378"/>
      <c r="J53" s="376" t="s">
        <v>186</v>
      </c>
      <c r="K53" s="376" t="s">
        <v>354</v>
      </c>
      <c r="L53" s="376" t="s">
        <v>170</v>
      </c>
      <c r="M53" s="376" t="s">
        <v>171</v>
      </c>
      <c r="N53" s="376" t="s">
        <v>172</v>
      </c>
      <c r="O53" s="379">
        <v>1</v>
      </c>
      <c r="P53" s="385">
        <v>1</v>
      </c>
      <c r="Q53" s="385">
        <v>1</v>
      </c>
      <c r="R53" s="380">
        <v>80</v>
      </c>
      <c r="S53" s="385">
        <v>1</v>
      </c>
      <c r="T53" s="380">
        <v>58124</v>
      </c>
      <c r="U53" s="380">
        <v>0</v>
      </c>
      <c r="V53" s="380">
        <v>24148.09</v>
      </c>
      <c r="W53" s="380">
        <v>60424</v>
      </c>
      <c r="X53" s="380">
        <v>25243.54</v>
      </c>
      <c r="Y53" s="380">
        <v>60424</v>
      </c>
      <c r="Z53" s="380">
        <v>24947.47</v>
      </c>
      <c r="AA53" s="376" t="s">
        <v>355</v>
      </c>
      <c r="AB53" s="376" t="s">
        <v>356</v>
      </c>
      <c r="AC53" s="376" t="s">
        <v>357</v>
      </c>
      <c r="AD53" s="376" t="s">
        <v>269</v>
      </c>
      <c r="AE53" s="376" t="s">
        <v>354</v>
      </c>
      <c r="AF53" s="376" t="s">
        <v>177</v>
      </c>
      <c r="AG53" s="376" t="s">
        <v>178</v>
      </c>
      <c r="AH53" s="381">
        <v>29.05</v>
      </c>
      <c r="AI53" s="379">
        <v>19068</v>
      </c>
      <c r="AJ53" s="376" t="s">
        <v>179</v>
      </c>
      <c r="AK53" s="376" t="s">
        <v>180</v>
      </c>
      <c r="AL53" s="376" t="s">
        <v>181</v>
      </c>
      <c r="AM53" s="376" t="s">
        <v>182</v>
      </c>
      <c r="AN53" s="376" t="s">
        <v>68</v>
      </c>
      <c r="AO53" s="379">
        <v>80</v>
      </c>
      <c r="AP53" s="385">
        <v>1</v>
      </c>
      <c r="AQ53" s="385">
        <v>1</v>
      </c>
      <c r="AR53" s="383" t="s">
        <v>183</v>
      </c>
      <c r="AS53" s="387">
        <f t="shared" si="27"/>
        <v>1</v>
      </c>
      <c r="AT53">
        <f t="shared" si="28"/>
        <v>1</v>
      </c>
      <c r="AU53" s="387">
        <f>IF(AT53=0,"",IF(AND(AT53=1,M53="F",SUMIF(C2:C206,C53,AS2:AS206)&lt;=1),SUMIF(C2:C206,C53,AS2:AS206),IF(AND(AT53=1,M53="F",SUMIF(C2:C206,C53,AS2:AS206)&gt;1),1,"")))</f>
        <v>1</v>
      </c>
      <c r="AV53" s="387" t="str">
        <f>IF(AT53=0,"",IF(AND(AT53=3,M53="F",SUMIF(C2:C206,C53,AS2:AS206)&lt;=1),SUMIF(C2:C206,C53,AS2:AS206),IF(AND(AT53=3,M53="F",SUMIF(C2:C206,C53,AS2:AS206)&gt;1),1,"")))</f>
        <v/>
      </c>
      <c r="AW53" s="387">
        <f>SUMIF(C2:C206,C53,O2:O206)</f>
        <v>1</v>
      </c>
      <c r="AX53" s="387">
        <f>IF(AND(M53="F",AS53&lt;&gt;0),SUMIF(C2:C206,C53,W2:W206),0)</f>
        <v>60424</v>
      </c>
      <c r="AY53" s="387">
        <f t="shared" si="29"/>
        <v>60424</v>
      </c>
      <c r="AZ53" s="387" t="str">
        <f t="shared" si="30"/>
        <v/>
      </c>
      <c r="BA53" s="387">
        <f t="shared" si="31"/>
        <v>0</v>
      </c>
      <c r="BB53" s="387">
        <f t="shared" si="0"/>
        <v>11650</v>
      </c>
      <c r="BC53" s="387">
        <f t="shared" si="1"/>
        <v>0</v>
      </c>
      <c r="BD53" s="387">
        <f t="shared" si="2"/>
        <v>3746.288</v>
      </c>
      <c r="BE53" s="387">
        <f t="shared" si="3"/>
        <v>876.14800000000002</v>
      </c>
      <c r="BF53" s="387">
        <f t="shared" si="4"/>
        <v>7214.6256000000003</v>
      </c>
      <c r="BG53" s="387">
        <f t="shared" si="5"/>
        <v>435.65703999999999</v>
      </c>
      <c r="BH53" s="387">
        <f t="shared" si="6"/>
        <v>296.07760000000002</v>
      </c>
      <c r="BI53" s="387">
        <f t="shared" si="7"/>
        <v>184.89743999999999</v>
      </c>
      <c r="BJ53" s="387">
        <f t="shared" si="8"/>
        <v>839.89359999999999</v>
      </c>
      <c r="BK53" s="387">
        <f t="shared" si="9"/>
        <v>0</v>
      </c>
      <c r="BL53" s="387">
        <f t="shared" si="32"/>
        <v>13593.587280000002</v>
      </c>
      <c r="BM53" s="387">
        <f t="shared" si="33"/>
        <v>0</v>
      </c>
      <c r="BN53" s="387">
        <f t="shared" si="10"/>
        <v>11650</v>
      </c>
      <c r="BO53" s="387">
        <f t="shared" si="11"/>
        <v>0</v>
      </c>
      <c r="BP53" s="387">
        <f t="shared" si="12"/>
        <v>3746.288</v>
      </c>
      <c r="BQ53" s="387">
        <f t="shared" si="13"/>
        <v>876.14800000000002</v>
      </c>
      <c r="BR53" s="387">
        <f t="shared" si="14"/>
        <v>7214.6256000000003</v>
      </c>
      <c r="BS53" s="387">
        <f t="shared" si="15"/>
        <v>435.65703999999999</v>
      </c>
      <c r="BT53" s="387">
        <f t="shared" si="16"/>
        <v>0</v>
      </c>
      <c r="BU53" s="387">
        <f t="shared" si="17"/>
        <v>184.89743999999999</v>
      </c>
      <c r="BV53" s="387">
        <f t="shared" si="18"/>
        <v>839.89359999999999</v>
      </c>
      <c r="BW53" s="387">
        <f t="shared" si="19"/>
        <v>0</v>
      </c>
      <c r="BX53" s="387">
        <f t="shared" si="34"/>
        <v>13297.509680000001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0</v>
      </c>
      <c r="CE53" s="387">
        <f t="shared" si="22"/>
        <v>0</v>
      </c>
      <c r="CF53" s="387">
        <f t="shared" si="23"/>
        <v>-296.07760000000002</v>
      </c>
      <c r="CG53" s="387">
        <f t="shared" si="24"/>
        <v>0</v>
      </c>
      <c r="CH53" s="387">
        <f t="shared" si="25"/>
        <v>0</v>
      </c>
      <c r="CI53" s="387">
        <f t="shared" si="26"/>
        <v>0</v>
      </c>
      <c r="CJ53" s="387">
        <f t="shared" si="39"/>
        <v>-296.07760000000002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0365-00</v>
      </c>
    </row>
    <row r="54" spans="1:92" ht="15.75" thickBot="1" x14ac:dyDescent="0.3">
      <c r="A54" s="376" t="s">
        <v>161</v>
      </c>
      <c r="B54" s="376" t="s">
        <v>162</v>
      </c>
      <c r="C54" s="376" t="s">
        <v>358</v>
      </c>
      <c r="D54" s="376" t="s">
        <v>359</v>
      </c>
      <c r="E54" s="376" t="s">
        <v>216</v>
      </c>
      <c r="F54" s="377" t="s">
        <v>166</v>
      </c>
      <c r="G54" s="376" t="s">
        <v>267</v>
      </c>
      <c r="H54" s="378"/>
      <c r="I54" s="378"/>
      <c r="J54" s="376" t="s">
        <v>242</v>
      </c>
      <c r="K54" s="376" t="s">
        <v>360</v>
      </c>
      <c r="L54" s="376" t="s">
        <v>283</v>
      </c>
      <c r="M54" s="376" t="s">
        <v>171</v>
      </c>
      <c r="N54" s="376" t="s">
        <v>172</v>
      </c>
      <c r="O54" s="379">
        <v>1</v>
      </c>
      <c r="P54" s="385">
        <v>0.5</v>
      </c>
      <c r="Q54" s="385">
        <v>0.5</v>
      </c>
      <c r="R54" s="380">
        <v>80</v>
      </c>
      <c r="S54" s="385">
        <v>0.5</v>
      </c>
      <c r="T54" s="380">
        <v>39972.01</v>
      </c>
      <c r="U54" s="380">
        <v>0</v>
      </c>
      <c r="V54" s="380">
        <v>13989.57</v>
      </c>
      <c r="W54" s="380">
        <v>41204.800000000003</v>
      </c>
      <c r="X54" s="380">
        <v>15094.82</v>
      </c>
      <c r="Y54" s="380">
        <v>41204.800000000003</v>
      </c>
      <c r="Z54" s="380">
        <v>14892.92</v>
      </c>
      <c r="AA54" s="376" t="s">
        <v>361</v>
      </c>
      <c r="AB54" s="376" t="s">
        <v>362</v>
      </c>
      <c r="AC54" s="376" t="s">
        <v>363</v>
      </c>
      <c r="AD54" s="376" t="s">
        <v>364</v>
      </c>
      <c r="AE54" s="376" t="s">
        <v>360</v>
      </c>
      <c r="AF54" s="376" t="s">
        <v>288</v>
      </c>
      <c r="AG54" s="376" t="s">
        <v>178</v>
      </c>
      <c r="AH54" s="381">
        <v>39.619999999999997</v>
      </c>
      <c r="AI54" s="381">
        <v>13592.9</v>
      </c>
      <c r="AJ54" s="376" t="s">
        <v>179</v>
      </c>
      <c r="AK54" s="376" t="s">
        <v>180</v>
      </c>
      <c r="AL54" s="376" t="s">
        <v>181</v>
      </c>
      <c r="AM54" s="376" t="s">
        <v>182</v>
      </c>
      <c r="AN54" s="376" t="s">
        <v>68</v>
      </c>
      <c r="AO54" s="379">
        <v>80</v>
      </c>
      <c r="AP54" s="385">
        <v>1</v>
      </c>
      <c r="AQ54" s="385">
        <v>0.5</v>
      </c>
      <c r="AR54" s="383" t="s">
        <v>183</v>
      </c>
      <c r="AS54" s="387">
        <f t="shared" si="27"/>
        <v>0.5</v>
      </c>
      <c r="AT54">
        <f t="shared" si="28"/>
        <v>1</v>
      </c>
      <c r="AU54" s="387">
        <f>IF(AT54=0,"",IF(AND(AT54=1,M54="F",SUMIF(C2:C206,C54,AS2:AS206)&lt;=1),SUMIF(C2:C206,C54,AS2:AS206),IF(AND(AT54=1,M54="F",SUMIF(C2:C206,C54,AS2:AS206)&gt;1),1,"")))</f>
        <v>1</v>
      </c>
      <c r="AV54" s="387" t="str">
        <f>IF(AT54=0,"",IF(AND(AT54=3,M54="F",SUMIF(C2:C206,C54,AS2:AS206)&lt;=1),SUMIF(C2:C206,C54,AS2:AS206),IF(AND(AT54=3,M54="F",SUMIF(C2:C206,C54,AS2:AS206)&gt;1),1,"")))</f>
        <v/>
      </c>
      <c r="AW54" s="387">
        <f>SUMIF(C2:C206,C54,O2:O206)</f>
        <v>2</v>
      </c>
      <c r="AX54" s="387">
        <f>IF(AND(M54="F",AS54&lt;&gt;0),SUMIF(C2:C206,C54,W2:W206),0)</f>
        <v>82409.600000000006</v>
      </c>
      <c r="AY54" s="387">
        <f t="shared" si="29"/>
        <v>41204.800000000003</v>
      </c>
      <c r="AZ54" s="387" t="str">
        <f t="shared" si="30"/>
        <v/>
      </c>
      <c r="BA54" s="387">
        <f t="shared" si="31"/>
        <v>0</v>
      </c>
      <c r="BB54" s="387">
        <f t="shared" si="0"/>
        <v>5825</v>
      </c>
      <c r="BC54" s="387">
        <f t="shared" si="1"/>
        <v>0</v>
      </c>
      <c r="BD54" s="387">
        <f t="shared" si="2"/>
        <v>2554.6976</v>
      </c>
      <c r="BE54" s="387">
        <f t="shared" si="3"/>
        <v>597.46960000000013</v>
      </c>
      <c r="BF54" s="387">
        <f t="shared" si="4"/>
        <v>4919.8531200000007</v>
      </c>
      <c r="BG54" s="387">
        <f t="shared" si="5"/>
        <v>297.08660800000001</v>
      </c>
      <c r="BH54" s="387">
        <f t="shared" si="6"/>
        <v>201.90352000000001</v>
      </c>
      <c r="BI54" s="387">
        <f t="shared" si="7"/>
        <v>126.086688</v>
      </c>
      <c r="BJ54" s="387">
        <f t="shared" si="8"/>
        <v>572.74671999999998</v>
      </c>
      <c r="BK54" s="387">
        <f t="shared" si="9"/>
        <v>0</v>
      </c>
      <c r="BL54" s="387">
        <f t="shared" si="32"/>
        <v>9269.8438559999995</v>
      </c>
      <c r="BM54" s="387">
        <f t="shared" si="33"/>
        <v>0</v>
      </c>
      <c r="BN54" s="387">
        <f t="shared" si="10"/>
        <v>5825</v>
      </c>
      <c r="BO54" s="387">
        <f t="shared" si="11"/>
        <v>0</v>
      </c>
      <c r="BP54" s="387">
        <f t="shared" si="12"/>
        <v>2554.6976</v>
      </c>
      <c r="BQ54" s="387">
        <f t="shared" si="13"/>
        <v>597.46960000000013</v>
      </c>
      <c r="BR54" s="387">
        <f t="shared" si="14"/>
        <v>4919.8531200000007</v>
      </c>
      <c r="BS54" s="387">
        <f t="shared" si="15"/>
        <v>297.08660800000001</v>
      </c>
      <c r="BT54" s="387">
        <f t="shared" si="16"/>
        <v>0</v>
      </c>
      <c r="BU54" s="387">
        <f t="shared" si="17"/>
        <v>126.086688</v>
      </c>
      <c r="BV54" s="387">
        <f t="shared" si="18"/>
        <v>572.74671999999998</v>
      </c>
      <c r="BW54" s="387">
        <f t="shared" si="19"/>
        <v>0</v>
      </c>
      <c r="BX54" s="387">
        <f t="shared" si="34"/>
        <v>9067.9403359999997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-201.90352000000001</v>
      </c>
      <c r="CG54" s="387">
        <f t="shared" si="24"/>
        <v>0</v>
      </c>
      <c r="CH54" s="387">
        <f t="shared" si="25"/>
        <v>0</v>
      </c>
      <c r="CI54" s="387">
        <f t="shared" si="26"/>
        <v>0</v>
      </c>
      <c r="CJ54" s="387">
        <f t="shared" si="39"/>
        <v>-201.90352000000001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0365-00</v>
      </c>
    </row>
    <row r="55" spans="1:92" ht="15.75" thickBot="1" x14ac:dyDescent="0.3">
      <c r="A55" s="376" t="s">
        <v>161</v>
      </c>
      <c r="B55" s="376" t="s">
        <v>162</v>
      </c>
      <c r="C55" s="376" t="s">
        <v>365</v>
      </c>
      <c r="D55" s="376" t="s">
        <v>254</v>
      </c>
      <c r="E55" s="376" t="s">
        <v>216</v>
      </c>
      <c r="F55" s="377" t="s">
        <v>166</v>
      </c>
      <c r="G55" s="376" t="s">
        <v>267</v>
      </c>
      <c r="H55" s="378"/>
      <c r="I55" s="378"/>
      <c r="J55" s="376" t="s">
        <v>186</v>
      </c>
      <c r="K55" s="376" t="s">
        <v>255</v>
      </c>
      <c r="L55" s="376" t="s">
        <v>178</v>
      </c>
      <c r="M55" s="376" t="s">
        <v>171</v>
      </c>
      <c r="N55" s="376" t="s">
        <v>172</v>
      </c>
      <c r="O55" s="379">
        <v>1</v>
      </c>
      <c r="P55" s="385">
        <v>1</v>
      </c>
      <c r="Q55" s="385">
        <v>1</v>
      </c>
      <c r="R55" s="380">
        <v>80</v>
      </c>
      <c r="S55" s="385">
        <v>1</v>
      </c>
      <c r="T55" s="380">
        <v>26400</v>
      </c>
      <c r="U55" s="380">
        <v>0</v>
      </c>
      <c r="V55" s="380">
        <v>15205.88</v>
      </c>
      <c r="W55" s="380">
        <v>31200</v>
      </c>
      <c r="X55" s="380">
        <v>18669.060000000001</v>
      </c>
      <c r="Y55" s="380">
        <v>31200</v>
      </c>
      <c r="Z55" s="380">
        <v>18516.18</v>
      </c>
      <c r="AA55" s="376" t="s">
        <v>366</v>
      </c>
      <c r="AB55" s="376" t="s">
        <v>367</v>
      </c>
      <c r="AC55" s="376" t="s">
        <v>368</v>
      </c>
      <c r="AD55" s="376" t="s">
        <v>249</v>
      </c>
      <c r="AE55" s="376" t="s">
        <v>255</v>
      </c>
      <c r="AF55" s="376" t="s">
        <v>250</v>
      </c>
      <c r="AG55" s="376" t="s">
        <v>178</v>
      </c>
      <c r="AH55" s="379">
        <v>15</v>
      </c>
      <c r="AI55" s="379">
        <v>1750</v>
      </c>
      <c r="AJ55" s="376" t="s">
        <v>179</v>
      </c>
      <c r="AK55" s="376" t="s">
        <v>180</v>
      </c>
      <c r="AL55" s="376" t="s">
        <v>181</v>
      </c>
      <c r="AM55" s="376" t="s">
        <v>182</v>
      </c>
      <c r="AN55" s="376" t="s">
        <v>68</v>
      </c>
      <c r="AO55" s="379">
        <v>80</v>
      </c>
      <c r="AP55" s="385">
        <v>1</v>
      </c>
      <c r="AQ55" s="385">
        <v>1</v>
      </c>
      <c r="AR55" s="383" t="s">
        <v>183</v>
      </c>
      <c r="AS55" s="387">
        <f t="shared" si="27"/>
        <v>1</v>
      </c>
      <c r="AT55">
        <f t="shared" si="28"/>
        <v>1</v>
      </c>
      <c r="AU55" s="387">
        <f>IF(AT55=0,"",IF(AND(AT55=1,M55="F",SUMIF(C2:C206,C55,AS2:AS206)&lt;=1),SUMIF(C2:C206,C55,AS2:AS206),IF(AND(AT55=1,M55="F",SUMIF(C2:C206,C55,AS2:AS206)&gt;1),1,"")))</f>
        <v>1</v>
      </c>
      <c r="AV55" s="387" t="str">
        <f>IF(AT55=0,"",IF(AND(AT55=3,M55="F",SUMIF(C2:C206,C55,AS2:AS206)&lt;=1),SUMIF(C2:C206,C55,AS2:AS206),IF(AND(AT55=3,M55="F",SUMIF(C2:C206,C55,AS2:AS206)&gt;1),1,"")))</f>
        <v/>
      </c>
      <c r="AW55" s="387">
        <f>SUMIF(C2:C206,C55,O2:O206)</f>
        <v>1</v>
      </c>
      <c r="AX55" s="387">
        <f>IF(AND(M55="F",AS55&lt;&gt;0),SUMIF(C2:C206,C55,W2:W206),0)</f>
        <v>31200</v>
      </c>
      <c r="AY55" s="387">
        <f t="shared" si="29"/>
        <v>31200</v>
      </c>
      <c r="AZ55" s="387" t="str">
        <f t="shared" si="30"/>
        <v/>
      </c>
      <c r="BA55" s="387">
        <f t="shared" si="31"/>
        <v>0</v>
      </c>
      <c r="BB55" s="387">
        <f t="shared" si="0"/>
        <v>11650</v>
      </c>
      <c r="BC55" s="387">
        <f t="shared" si="1"/>
        <v>0</v>
      </c>
      <c r="BD55" s="387">
        <f t="shared" si="2"/>
        <v>1934.4</v>
      </c>
      <c r="BE55" s="387">
        <f t="shared" si="3"/>
        <v>452.40000000000003</v>
      </c>
      <c r="BF55" s="387">
        <f t="shared" si="4"/>
        <v>3725.28</v>
      </c>
      <c r="BG55" s="387">
        <f t="shared" si="5"/>
        <v>224.952</v>
      </c>
      <c r="BH55" s="387">
        <f t="shared" si="6"/>
        <v>152.88</v>
      </c>
      <c r="BI55" s="387">
        <f t="shared" si="7"/>
        <v>95.471999999999994</v>
      </c>
      <c r="BJ55" s="387">
        <f t="shared" si="8"/>
        <v>433.67999999999995</v>
      </c>
      <c r="BK55" s="387">
        <f t="shared" si="9"/>
        <v>0</v>
      </c>
      <c r="BL55" s="387">
        <f t="shared" si="32"/>
        <v>7019.0640000000003</v>
      </c>
      <c r="BM55" s="387">
        <f t="shared" si="33"/>
        <v>0</v>
      </c>
      <c r="BN55" s="387">
        <f t="shared" si="10"/>
        <v>11650</v>
      </c>
      <c r="BO55" s="387">
        <f t="shared" si="11"/>
        <v>0</v>
      </c>
      <c r="BP55" s="387">
        <f t="shared" si="12"/>
        <v>1934.4</v>
      </c>
      <c r="BQ55" s="387">
        <f t="shared" si="13"/>
        <v>452.40000000000003</v>
      </c>
      <c r="BR55" s="387">
        <f t="shared" si="14"/>
        <v>3725.28</v>
      </c>
      <c r="BS55" s="387">
        <f t="shared" si="15"/>
        <v>224.952</v>
      </c>
      <c r="BT55" s="387">
        <f t="shared" si="16"/>
        <v>0</v>
      </c>
      <c r="BU55" s="387">
        <f t="shared" si="17"/>
        <v>95.471999999999994</v>
      </c>
      <c r="BV55" s="387">
        <f t="shared" si="18"/>
        <v>433.67999999999995</v>
      </c>
      <c r="BW55" s="387">
        <f t="shared" si="19"/>
        <v>0</v>
      </c>
      <c r="BX55" s="387">
        <f t="shared" si="34"/>
        <v>6866.1840000000002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0</v>
      </c>
      <c r="CE55" s="387">
        <f t="shared" si="22"/>
        <v>0</v>
      </c>
      <c r="CF55" s="387">
        <f t="shared" si="23"/>
        <v>-152.88</v>
      </c>
      <c r="CG55" s="387">
        <f t="shared" si="24"/>
        <v>0</v>
      </c>
      <c r="CH55" s="387">
        <f t="shared" si="25"/>
        <v>0</v>
      </c>
      <c r="CI55" s="387">
        <f t="shared" si="26"/>
        <v>0</v>
      </c>
      <c r="CJ55" s="387">
        <f t="shared" si="39"/>
        <v>-152.88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0365-00</v>
      </c>
    </row>
    <row r="56" spans="1:92" ht="15.75" thickBot="1" x14ac:dyDescent="0.3">
      <c r="A56" s="376" t="s">
        <v>161</v>
      </c>
      <c r="B56" s="376" t="s">
        <v>162</v>
      </c>
      <c r="C56" s="376" t="s">
        <v>369</v>
      </c>
      <c r="D56" s="376" t="s">
        <v>281</v>
      </c>
      <c r="E56" s="376" t="s">
        <v>216</v>
      </c>
      <c r="F56" s="377" t="s">
        <v>166</v>
      </c>
      <c r="G56" s="376" t="s">
        <v>267</v>
      </c>
      <c r="H56" s="378"/>
      <c r="I56" s="378"/>
      <c r="J56" s="376" t="s">
        <v>186</v>
      </c>
      <c r="K56" s="376" t="s">
        <v>282</v>
      </c>
      <c r="L56" s="376" t="s">
        <v>283</v>
      </c>
      <c r="M56" s="376" t="s">
        <v>171</v>
      </c>
      <c r="N56" s="376" t="s">
        <v>172</v>
      </c>
      <c r="O56" s="379">
        <v>1</v>
      </c>
      <c r="P56" s="385">
        <v>1</v>
      </c>
      <c r="Q56" s="385">
        <v>1</v>
      </c>
      <c r="R56" s="380">
        <v>80</v>
      </c>
      <c r="S56" s="385">
        <v>1</v>
      </c>
      <c r="T56" s="380">
        <v>71548</v>
      </c>
      <c r="U56" s="380">
        <v>0</v>
      </c>
      <c r="V56" s="380">
        <v>26237.53</v>
      </c>
      <c r="W56" s="380">
        <v>74068.800000000003</v>
      </c>
      <c r="X56" s="380">
        <v>28313.22</v>
      </c>
      <c r="Y56" s="380">
        <v>74068.800000000003</v>
      </c>
      <c r="Z56" s="380">
        <v>27950.29</v>
      </c>
      <c r="AA56" s="376" t="s">
        <v>370</v>
      </c>
      <c r="AB56" s="376" t="s">
        <v>371</v>
      </c>
      <c r="AC56" s="376" t="s">
        <v>372</v>
      </c>
      <c r="AD56" s="376" t="s">
        <v>373</v>
      </c>
      <c r="AE56" s="376" t="s">
        <v>282</v>
      </c>
      <c r="AF56" s="376" t="s">
        <v>288</v>
      </c>
      <c r="AG56" s="376" t="s">
        <v>178</v>
      </c>
      <c r="AH56" s="381">
        <v>35.61</v>
      </c>
      <c r="AI56" s="381">
        <v>11760.5</v>
      </c>
      <c r="AJ56" s="376" t="s">
        <v>179</v>
      </c>
      <c r="AK56" s="376" t="s">
        <v>180</v>
      </c>
      <c r="AL56" s="376" t="s">
        <v>181</v>
      </c>
      <c r="AM56" s="376" t="s">
        <v>182</v>
      </c>
      <c r="AN56" s="376" t="s">
        <v>68</v>
      </c>
      <c r="AO56" s="379">
        <v>80</v>
      </c>
      <c r="AP56" s="385">
        <v>1</v>
      </c>
      <c r="AQ56" s="385">
        <v>1</v>
      </c>
      <c r="AR56" s="383" t="s">
        <v>183</v>
      </c>
      <c r="AS56" s="387">
        <f t="shared" si="27"/>
        <v>1</v>
      </c>
      <c r="AT56">
        <f t="shared" si="28"/>
        <v>1</v>
      </c>
      <c r="AU56" s="387">
        <f>IF(AT56=0,"",IF(AND(AT56=1,M56="F",SUMIF(C2:C206,C56,AS2:AS206)&lt;=1),SUMIF(C2:C206,C56,AS2:AS206),IF(AND(AT56=1,M56="F",SUMIF(C2:C206,C56,AS2:AS206)&gt;1),1,"")))</f>
        <v>1</v>
      </c>
      <c r="AV56" s="387" t="str">
        <f>IF(AT56=0,"",IF(AND(AT56=3,M56="F",SUMIF(C2:C206,C56,AS2:AS206)&lt;=1),SUMIF(C2:C206,C56,AS2:AS206),IF(AND(AT56=3,M56="F",SUMIF(C2:C206,C56,AS2:AS206)&gt;1),1,"")))</f>
        <v/>
      </c>
      <c r="AW56" s="387">
        <f>SUMIF(C2:C206,C56,O2:O206)</f>
        <v>1</v>
      </c>
      <c r="AX56" s="387">
        <f>IF(AND(M56="F",AS56&lt;&gt;0),SUMIF(C2:C206,C56,W2:W206),0)</f>
        <v>74068.800000000003</v>
      </c>
      <c r="AY56" s="387">
        <f t="shared" si="29"/>
        <v>74068.800000000003</v>
      </c>
      <c r="AZ56" s="387" t="str">
        <f t="shared" si="30"/>
        <v/>
      </c>
      <c r="BA56" s="387">
        <f t="shared" si="31"/>
        <v>0</v>
      </c>
      <c r="BB56" s="387">
        <f t="shared" si="0"/>
        <v>11650</v>
      </c>
      <c r="BC56" s="387">
        <f t="shared" si="1"/>
        <v>0</v>
      </c>
      <c r="BD56" s="387">
        <f t="shared" si="2"/>
        <v>4592.2655999999997</v>
      </c>
      <c r="BE56" s="387">
        <f t="shared" si="3"/>
        <v>1073.9976000000001</v>
      </c>
      <c r="BF56" s="387">
        <f t="shared" si="4"/>
        <v>8843.8147200000003</v>
      </c>
      <c r="BG56" s="387">
        <f t="shared" si="5"/>
        <v>534.03604800000005</v>
      </c>
      <c r="BH56" s="387">
        <f t="shared" si="6"/>
        <v>362.93711999999999</v>
      </c>
      <c r="BI56" s="387">
        <f t="shared" si="7"/>
        <v>226.65052799999998</v>
      </c>
      <c r="BJ56" s="387">
        <f t="shared" si="8"/>
        <v>1029.5563199999999</v>
      </c>
      <c r="BK56" s="387">
        <f t="shared" si="9"/>
        <v>0</v>
      </c>
      <c r="BL56" s="387">
        <f t="shared" si="32"/>
        <v>16663.257936000002</v>
      </c>
      <c r="BM56" s="387">
        <f t="shared" si="33"/>
        <v>0</v>
      </c>
      <c r="BN56" s="387">
        <f t="shared" si="10"/>
        <v>11650</v>
      </c>
      <c r="BO56" s="387">
        <f t="shared" si="11"/>
        <v>0</v>
      </c>
      <c r="BP56" s="387">
        <f t="shared" si="12"/>
        <v>4592.2655999999997</v>
      </c>
      <c r="BQ56" s="387">
        <f t="shared" si="13"/>
        <v>1073.9976000000001</v>
      </c>
      <c r="BR56" s="387">
        <f t="shared" si="14"/>
        <v>8843.8147200000003</v>
      </c>
      <c r="BS56" s="387">
        <f t="shared" si="15"/>
        <v>534.03604800000005</v>
      </c>
      <c r="BT56" s="387">
        <f t="shared" si="16"/>
        <v>0</v>
      </c>
      <c r="BU56" s="387">
        <f t="shared" si="17"/>
        <v>226.65052799999998</v>
      </c>
      <c r="BV56" s="387">
        <f t="shared" si="18"/>
        <v>1029.5563199999999</v>
      </c>
      <c r="BW56" s="387">
        <f t="shared" si="19"/>
        <v>0</v>
      </c>
      <c r="BX56" s="387">
        <f t="shared" si="34"/>
        <v>16300.320815999999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0</v>
      </c>
      <c r="CE56" s="387">
        <f t="shared" si="22"/>
        <v>0</v>
      </c>
      <c r="CF56" s="387">
        <f t="shared" si="23"/>
        <v>-362.93711999999999</v>
      </c>
      <c r="CG56" s="387">
        <f t="shared" si="24"/>
        <v>0</v>
      </c>
      <c r="CH56" s="387">
        <f t="shared" si="25"/>
        <v>0</v>
      </c>
      <c r="CI56" s="387">
        <f t="shared" si="26"/>
        <v>0</v>
      </c>
      <c r="CJ56" s="387">
        <f t="shared" si="39"/>
        <v>-362.93711999999999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0365-00</v>
      </c>
    </row>
    <row r="57" spans="1:92" ht="15.75" thickBot="1" x14ac:dyDescent="0.3">
      <c r="A57" s="376" t="s">
        <v>161</v>
      </c>
      <c r="B57" s="376" t="s">
        <v>162</v>
      </c>
      <c r="C57" s="376" t="s">
        <v>374</v>
      </c>
      <c r="D57" s="376" t="s">
        <v>281</v>
      </c>
      <c r="E57" s="376" t="s">
        <v>216</v>
      </c>
      <c r="F57" s="377" t="s">
        <v>166</v>
      </c>
      <c r="G57" s="376" t="s">
        <v>267</v>
      </c>
      <c r="H57" s="378"/>
      <c r="I57" s="378"/>
      <c r="J57" s="376" t="s">
        <v>186</v>
      </c>
      <c r="K57" s="376" t="s">
        <v>282</v>
      </c>
      <c r="L57" s="376" t="s">
        <v>283</v>
      </c>
      <c r="M57" s="376" t="s">
        <v>171</v>
      </c>
      <c r="N57" s="376" t="s">
        <v>172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66131.28</v>
      </c>
      <c r="U57" s="380">
        <v>0</v>
      </c>
      <c r="V57" s="380">
        <v>25537.05</v>
      </c>
      <c r="W57" s="380">
        <v>68744</v>
      </c>
      <c r="X57" s="380">
        <v>27115.3</v>
      </c>
      <c r="Y57" s="380">
        <v>68744</v>
      </c>
      <c r="Z57" s="380">
        <v>26778.46</v>
      </c>
      <c r="AA57" s="376" t="s">
        <v>375</v>
      </c>
      <c r="AB57" s="376" t="s">
        <v>376</v>
      </c>
      <c r="AC57" s="376" t="s">
        <v>377</v>
      </c>
      <c r="AD57" s="376" t="s">
        <v>378</v>
      </c>
      <c r="AE57" s="376" t="s">
        <v>282</v>
      </c>
      <c r="AF57" s="376" t="s">
        <v>288</v>
      </c>
      <c r="AG57" s="376" t="s">
        <v>178</v>
      </c>
      <c r="AH57" s="381">
        <v>33.049999999999997</v>
      </c>
      <c r="AI57" s="381">
        <v>5971.8</v>
      </c>
      <c r="AJ57" s="376" t="s">
        <v>179</v>
      </c>
      <c r="AK57" s="376" t="s">
        <v>180</v>
      </c>
      <c r="AL57" s="376" t="s">
        <v>181</v>
      </c>
      <c r="AM57" s="376" t="s">
        <v>182</v>
      </c>
      <c r="AN57" s="376" t="s">
        <v>68</v>
      </c>
      <c r="AO57" s="379">
        <v>80</v>
      </c>
      <c r="AP57" s="385">
        <v>1</v>
      </c>
      <c r="AQ57" s="385">
        <v>1</v>
      </c>
      <c r="AR57" s="383" t="s">
        <v>183</v>
      </c>
      <c r="AS57" s="387">
        <f t="shared" si="27"/>
        <v>1</v>
      </c>
      <c r="AT57">
        <f t="shared" si="28"/>
        <v>1</v>
      </c>
      <c r="AU57" s="387">
        <f>IF(AT57=0,"",IF(AND(AT57=1,M57="F",SUMIF(C2:C206,C57,AS2:AS206)&lt;=1),SUMIF(C2:C206,C57,AS2:AS206),IF(AND(AT57=1,M57="F",SUMIF(C2:C206,C57,AS2:AS206)&gt;1),1,"")))</f>
        <v>1</v>
      </c>
      <c r="AV57" s="387" t="str">
        <f>IF(AT57=0,"",IF(AND(AT57=3,M57="F",SUMIF(C2:C206,C57,AS2:AS206)&lt;=1),SUMIF(C2:C206,C57,AS2:AS206),IF(AND(AT57=3,M57="F",SUMIF(C2:C206,C57,AS2:AS206)&gt;1),1,"")))</f>
        <v/>
      </c>
      <c r="AW57" s="387">
        <f>SUMIF(C2:C206,C57,O2:O206)</f>
        <v>1</v>
      </c>
      <c r="AX57" s="387">
        <f>IF(AND(M57="F",AS57&lt;&gt;0),SUMIF(C2:C206,C57,W2:W206),0)</f>
        <v>68744</v>
      </c>
      <c r="AY57" s="387">
        <f t="shared" si="29"/>
        <v>68744</v>
      </c>
      <c r="AZ57" s="387" t="str">
        <f t="shared" si="30"/>
        <v/>
      </c>
      <c r="BA57" s="387">
        <f t="shared" si="31"/>
        <v>0</v>
      </c>
      <c r="BB57" s="387">
        <f t="shared" si="0"/>
        <v>11650</v>
      </c>
      <c r="BC57" s="387">
        <f t="shared" si="1"/>
        <v>0</v>
      </c>
      <c r="BD57" s="387">
        <f t="shared" si="2"/>
        <v>4262.1279999999997</v>
      </c>
      <c r="BE57" s="387">
        <f t="shared" si="3"/>
        <v>996.78800000000001</v>
      </c>
      <c r="BF57" s="387">
        <f t="shared" si="4"/>
        <v>8208.0336000000007</v>
      </c>
      <c r="BG57" s="387">
        <f t="shared" si="5"/>
        <v>495.64424000000002</v>
      </c>
      <c r="BH57" s="387">
        <f t="shared" si="6"/>
        <v>336.84559999999999</v>
      </c>
      <c r="BI57" s="387">
        <f t="shared" si="7"/>
        <v>210.35664</v>
      </c>
      <c r="BJ57" s="387">
        <f t="shared" si="8"/>
        <v>955.5415999999999</v>
      </c>
      <c r="BK57" s="387">
        <f t="shared" si="9"/>
        <v>0</v>
      </c>
      <c r="BL57" s="387">
        <f t="shared" si="32"/>
        <v>15465.337680000001</v>
      </c>
      <c r="BM57" s="387">
        <f t="shared" si="33"/>
        <v>0</v>
      </c>
      <c r="BN57" s="387">
        <f t="shared" si="10"/>
        <v>11650</v>
      </c>
      <c r="BO57" s="387">
        <f t="shared" si="11"/>
        <v>0</v>
      </c>
      <c r="BP57" s="387">
        <f t="shared" si="12"/>
        <v>4262.1279999999997</v>
      </c>
      <c r="BQ57" s="387">
        <f t="shared" si="13"/>
        <v>996.78800000000001</v>
      </c>
      <c r="BR57" s="387">
        <f t="shared" si="14"/>
        <v>8208.0336000000007</v>
      </c>
      <c r="BS57" s="387">
        <f t="shared" si="15"/>
        <v>495.64424000000002</v>
      </c>
      <c r="BT57" s="387">
        <f t="shared" si="16"/>
        <v>0</v>
      </c>
      <c r="BU57" s="387">
        <f t="shared" si="17"/>
        <v>210.35664</v>
      </c>
      <c r="BV57" s="387">
        <f t="shared" si="18"/>
        <v>955.5415999999999</v>
      </c>
      <c r="BW57" s="387">
        <f t="shared" si="19"/>
        <v>0</v>
      </c>
      <c r="BX57" s="387">
        <f t="shared" si="34"/>
        <v>15128.49208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-336.84559999999999</v>
      </c>
      <c r="CG57" s="387">
        <f t="shared" si="24"/>
        <v>0</v>
      </c>
      <c r="CH57" s="387">
        <f t="shared" si="25"/>
        <v>0</v>
      </c>
      <c r="CI57" s="387">
        <f t="shared" si="26"/>
        <v>0</v>
      </c>
      <c r="CJ57" s="387">
        <f t="shared" si="39"/>
        <v>-336.84559999999999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0365-00</v>
      </c>
    </row>
    <row r="58" spans="1:92" ht="15.75" thickBot="1" x14ac:dyDescent="0.3">
      <c r="A58" s="376" t="s">
        <v>161</v>
      </c>
      <c r="B58" s="376" t="s">
        <v>162</v>
      </c>
      <c r="C58" s="376" t="s">
        <v>379</v>
      </c>
      <c r="D58" s="376" t="s">
        <v>281</v>
      </c>
      <c r="E58" s="376" t="s">
        <v>216</v>
      </c>
      <c r="F58" s="377" t="s">
        <v>166</v>
      </c>
      <c r="G58" s="376" t="s">
        <v>267</v>
      </c>
      <c r="H58" s="378"/>
      <c r="I58" s="378"/>
      <c r="J58" s="376" t="s">
        <v>186</v>
      </c>
      <c r="K58" s="376" t="s">
        <v>282</v>
      </c>
      <c r="L58" s="376" t="s">
        <v>283</v>
      </c>
      <c r="M58" s="376" t="s">
        <v>207</v>
      </c>
      <c r="N58" s="376" t="s">
        <v>172</v>
      </c>
      <c r="O58" s="379">
        <v>0</v>
      </c>
      <c r="P58" s="385">
        <v>1</v>
      </c>
      <c r="Q58" s="385">
        <v>1</v>
      </c>
      <c r="R58" s="380">
        <v>80</v>
      </c>
      <c r="S58" s="385">
        <v>1</v>
      </c>
      <c r="T58" s="380">
        <v>47459.72</v>
      </c>
      <c r="U58" s="380">
        <v>0</v>
      </c>
      <c r="V58" s="380">
        <v>17755.560000000001</v>
      </c>
      <c r="W58" s="380">
        <v>60465.599999999999</v>
      </c>
      <c r="X58" s="380">
        <v>26483.93</v>
      </c>
      <c r="Y58" s="380">
        <v>60465.599999999999</v>
      </c>
      <c r="Z58" s="380">
        <v>26181.599999999999</v>
      </c>
      <c r="AA58" s="378"/>
      <c r="AB58" s="376" t="s">
        <v>45</v>
      </c>
      <c r="AC58" s="376" t="s">
        <v>45</v>
      </c>
      <c r="AD58" s="378"/>
      <c r="AE58" s="378"/>
      <c r="AF58" s="378"/>
      <c r="AG58" s="378"/>
      <c r="AH58" s="379">
        <v>0</v>
      </c>
      <c r="AI58" s="379">
        <v>0</v>
      </c>
      <c r="AJ58" s="378"/>
      <c r="AK58" s="378"/>
      <c r="AL58" s="376" t="s">
        <v>181</v>
      </c>
      <c r="AM58" s="378"/>
      <c r="AN58" s="378"/>
      <c r="AO58" s="379">
        <v>0</v>
      </c>
      <c r="AP58" s="385">
        <v>0</v>
      </c>
      <c r="AQ58" s="385">
        <v>0</v>
      </c>
      <c r="AR58" s="384"/>
      <c r="AS58" s="387">
        <f t="shared" si="27"/>
        <v>0</v>
      </c>
      <c r="AT58">
        <f t="shared" si="28"/>
        <v>0</v>
      </c>
      <c r="AU58" s="387" t="str">
        <f>IF(AT58=0,"",IF(AND(AT58=1,M58="F",SUMIF(C2:C206,C58,AS2:AS206)&lt;=1),SUMIF(C2:C206,C58,AS2:AS206),IF(AND(AT58=1,M58="F",SUMIF(C2:C206,C58,AS2:AS206)&gt;1),1,"")))</f>
        <v/>
      </c>
      <c r="AV58" s="387" t="str">
        <f>IF(AT58=0,"",IF(AND(AT58=3,M58="F",SUMIF(C2:C206,C58,AS2:AS206)&lt;=1),SUMIF(C2:C206,C58,AS2:AS206),IF(AND(AT58=3,M58="F",SUMIF(C2:C206,C58,AS2:AS206)&gt;1),1,"")))</f>
        <v/>
      </c>
      <c r="AW58" s="387">
        <f>SUMIF(C2:C206,C58,O2:O206)</f>
        <v>0</v>
      </c>
      <c r="AX58" s="387">
        <f>IF(AND(M58="F",AS58&lt;&gt;0),SUMIF(C2:C206,C58,W2:W206),0)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0"/>
        <v>0</v>
      </c>
      <c r="BC58" s="387">
        <f t="shared" si="1"/>
        <v>0</v>
      </c>
      <c r="BD58" s="387">
        <f t="shared" si="2"/>
        <v>0</v>
      </c>
      <c r="BE58" s="387">
        <f t="shared" si="3"/>
        <v>0</v>
      </c>
      <c r="BF58" s="387">
        <f t="shared" si="4"/>
        <v>0</v>
      </c>
      <c r="BG58" s="387">
        <f t="shared" si="5"/>
        <v>0</v>
      </c>
      <c r="BH58" s="387">
        <f t="shared" si="6"/>
        <v>0</v>
      </c>
      <c r="BI58" s="387">
        <f t="shared" si="7"/>
        <v>0</v>
      </c>
      <c r="BJ58" s="387">
        <f t="shared" si="8"/>
        <v>0</v>
      </c>
      <c r="BK58" s="387">
        <f t="shared" si="9"/>
        <v>0</v>
      </c>
      <c r="BL58" s="387">
        <f t="shared" si="32"/>
        <v>0</v>
      </c>
      <c r="BM58" s="387">
        <f t="shared" si="33"/>
        <v>0</v>
      </c>
      <c r="BN58" s="387">
        <f t="shared" si="10"/>
        <v>0</v>
      </c>
      <c r="BO58" s="387">
        <f t="shared" si="11"/>
        <v>0</v>
      </c>
      <c r="BP58" s="387">
        <f t="shared" si="12"/>
        <v>0</v>
      </c>
      <c r="BQ58" s="387">
        <f t="shared" si="13"/>
        <v>0</v>
      </c>
      <c r="BR58" s="387">
        <f t="shared" si="14"/>
        <v>0</v>
      </c>
      <c r="BS58" s="387">
        <f t="shared" si="15"/>
        <v>0</v>
      </c>
      <c r="BT58" s="387">
        <f t="shared" si="16"/>
        <v>0</v>
      </c>
      <c r="BU58" s="387">
        <f t="shared" si="17"/>
        <v>0</v>
      </c>
      <c r="BV58" s="387">
        <f t="shared" si="18"/>
        <v>0</v>
      </c>
      <c r="BW58" s="387">
        <f t="shared" si="19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0</v>
      </c>
      <c r="CG58" s="387">
        <f t="shared" si="24"/>
        <v>0</v>
      </c>
      <c r="CH58" s="387">
        <f t="shared" si="25"/>
        <v>0</v>
      </c>
      <c r="CI58" s="387">
        <f t="shared" si="26"/>
        <v>0</v>
      </c>
      <c r="CJ58" s="387">
        <f t="shared" si="39"/>
        <v>0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0365-00</v>
      </c>
    </row>
    <row r="59" spans="1:92" ht="15.75" thickBot="1" x14ac:dyDescent="0.3">
      <c r="A59" s="376" t="s">
        <v>161</v>
      </c>
      <c r="B59" s="376" t="s">
        <v>162</v>
      </c>
      <c r="C59" s="376" t="s">
        <v>380</v>
      </c>
      <c r="D59" s="376" t="s">
        <v>254</v>
      </c>
      <c r="E59" s="376" t="s">
        <v>216</v>
      </c>
      <c r="F59" s="377" t="s">
        <v>166</v>
      </c>
      <c r="G59" s="376" t="s">
        <v>267</v>
      </c>
      <c r="H59" s="378"/>
      <c r="I59" s="378"/>
      <c r="J59" s="376" t="s">
        <v>186</v>
      </c>
      <c r="K59" s="376" t="s">
        <v>255</v>
      </c>
      <c r="L59" s="376" t="s">
        <v>178</v>
      </c>
      <c r="M59" s="376" t="s">
        <v>171</v>
      </c>
      <c r="N59" s="376" t="s">
        <v>172</v>
      </c>
      <c r="O59" s="379">
        <v>1</v>
      </c>
      <c r="P59" s="385">
        <v>1</v>
      </c>
      <c r="Q59" s="385">
        <v>1</v>
      </c>
      <c r="R59" s="380">
        <v>80</v>
      </c>
      <c r="S59" s="385">
        <v>1</v>
      </c>
      <c r="T59" s="380">
        <v>35668.910000000003</v>
      </c>
      <c r="U59" s="380">
        <v>0</v>
      </c>
      <c r="V59" s="380">
        <v>18787.23</v>
      </c>
      <c r="W59" s="380">
        <v>36920</v>
      </c>
      <c r="X59" s="380">
        <v>19955.86</v>
      </c>
      <c r="Y59" s="380">
        <v>36920</v>
      </c>
      <c r="Z59" s="380">
        <v>19774.96</v>
      </c>
      <c r="AA59" s="376" t="s">
        <v>381</v>
      </c>
      <c r="AB59" s="376" t="s">
        <v>382</v>
      </c>
      <c r="AC59" s="376" t="s">
        <v>383</v>
      </c>
      <c r="AD59" s="376" t="s">
        <v>306</v>
      </c>
      <c r="AE59" s="376" t="s">
        <v>255</v>
      </c>
      <c r="AF59" s="376" t="s">
        <v>250</v>
      </c>
      <c r="AG59" s="376" t="s">
        <v>178</v>
      </c>
      <c r="AH59" s="381">
        <v>17.75</v>
      </c>
      <c r="AI59" s="381">
        <v>10993.1</v>
      </c>
      <c r="AJ59" s="376" t="s">
        <v>179</v>
      </c>
      <c r="AK59" s="376" t="s">
        <v>180</v>
      </c>
      <c r="AL59" s="376" t="s">
        <v>181</v>
      </c>
      <c r="AM59" s="376" t="s">
        <v>182</v>
      </c>
      <c r="AN59" s="376" t="s">
        <v>68</v>
      </c>
      <c r="AO59" s="379">
        <v>80</v>
      </c>
      <c r="AP59" s="385">
        <v>1</v>
      </c>
      <c r="AQ59" s="385">
        <v>1</v>
      </c>
      <c r="AR59" s="383" t="s">
        <v>183</v>
      </c>
      <c r="AS59" s="387">
        <f t="shared" si="27"/>
        <v>1</v>
      </c>
      <c r="AT59">
        <f t="shared" si="28"/>
        <v>1</v>
      </c>
      <c r="AU59" s="387">
        <f>IF(AT59=0,"",IF(AND(AT59=1,M59="F",SUMIF(C2:C206,C59,AS2:AS206)&lt;=1),SUMIF(C2:C206,C59,AS2:AS206),IF(AND(AT59=1,M59="F",SUMIF(C2:C206,C59,AS2:AS206)&gt;1),1,"")))</f>
        <v>1</v>
      </c>
      <c r="AV59" s="387" t="str">
        <f>IF(AT59=0,"",IF(AND(AT59=3,M59="F",SUMIF(C2:C206,C59,AS2:AS206)&lt;=1),SUMIF(C2:C206,C59,AS2:AS206),IF(AND(AT59=3,M59="F",SUMIF(C2:C206,C59,AS2:AS206)&gt;1),1,"")))</f>
        <v/>
      </c>
      <c r="AW59" s="387">
        <f>SUMIF(C2:C206,C59,O2:O206)</f>
        <v>1</v>
      </c>
      <c r="AX59" s="387">
        <f>IF(AND(M59="F",AS59&lt;&gt;0),SUMIF(C2:C206,C59,W2:W206),0)</f>
        <v>36920</v>
      </c>
      <c r="AY59" s="387">
        <f t="shared" si="29"/>
        <v>36920</v>
      </c>
      <c r="AZ59" s="387" t="str">
        <f t="shared" si="30"/>
        <v/>
      </c>
      <c r="BA59" s="387">
        <f t="shared" si="31"/>
        <v>0</v>
      </c>
      <c r="BB59" s="387">
        <f t="shared" si="0"/>
        <v>11650</v>
      </c>
      <c r="BC59" s="387">
        <f t="shared" si="1"/>
        <v>0</v>
      </c>
      <c r="BD59" s="387">
        <f t="shared" si="2"/>
        <v>2289.04</v>
      </c>
      <c r="BE59" s="387">
        <f t="shared" si="3"/>
        <v>535.34</v>
      </c>
      <c r="BF59" s="387">
        <f t="shared" si="4"/>
        <v>4408.2480000000005</v>
      </c>
      <c r="BG59" s="387">
        <f t="shared" si="5"/>
        <v>266.19319999999999</v>
      </c>
      <c r="BH59" s="387">
        <f t="shared" si="6"/>
        <v>180.90799999999999</v>
      </c>
      <c r="BI59" s="387">
        <f t="shared" si="7"/>
        <v>112.97519999999999</v>
      </c>
      <c r="BJ59" s="387">
        <f t="shared" si="8"/>
        <v>513.18799999999999</v>
      </c>
      <c r="BK59" s="387">
        <f t="shared" si="9"/>
        <v>0</v>
      </c>
      <c r="BL59" s="387">
        <f t="shared" si="32"/>
        <v>8305.8924000000006</v>
      </c>
      <c r="BM59" s="387">
        <f t="shared" si="33"/>
        <v>0</v>
      </c>
      <c r="BN59" s="387">
        <f t="shared" si="10"/>
        <v>11650</v>
      </c>
      <c r="BO59" s="387">
        <f t="shared" si="11"/>
        <v>0</v>
      </c>
      <c r="BP59" s="387">
        <f t="shared" si="12"/>
        <v>2289.04</v>
      </c>
      <c r="BQ59" s="387">
        <f t="shared" si="13"/>
        <v>535.34</v>
      </c>
      <c r="BR59" s="387">
        <f t="shared" si="14"/>
        <v>4408.2480000000005</v>
      </c>
      <c r="BS59" s="387">
        <f t="shared" si="15"/>
        <v>266.19319999999999</v>
      </c>
      <c r="BT59" s="387">
        <f t="shared" si="16"/>
        <v>0</v>
      </c>
      <c r="BU59" s="387">
        <f t="shared" si="17"/>
        <v>112.97519999999999</v>
      </c>
      <c r="BV59" s="387">
        <f t="shared" si="18"/>
        <v>513.18799999999999</v>
      </c>
      <c r="BW59" s="387">
        <f t="shared" si="19"/>
        <v>0</v>
      </c>
      <c r="BX59" s="387">
        <f t="shared" si="34"/>
        <v>8124.9844000000003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0</v>
      </c>
      <c r="CE59" s="387">
        <f t="shared" si="22"/>
        <v>0</v>
      </c>
      <c r="CF59" s="387">
        <f t="shared" si="23"/>
        <v>-180.90799999999999</v>
      </c>
      <c r="CG59" s="387">
        <f t="shared" si="24"/>
        <v>0</v>
      </c>
      <c r="CH59" s="387">
        <f t="shared" si="25"/>
        <v>0</v>
      </c>
      <c r="CI59" s="387">
        <f t="shared" si="26"/>
        <v>0</v>
      </c>
      <c r="CJ59" s="387">
        <f t="shared" si="39"/>
        <v>-180.90799999999999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0365-00</v>
      </c>
    </row>
    <row r="60" spans="1:92" ht="15.75" thickBot="1" x14ac:dyDescent="0.3">
      <c r="A60" s="376" t="s">
        <v>161</v>
      </c>
      <c r="B60" s="376" t="s">
        <v>162</v>
      </c>
      <c r="C60" s="376" t="s">
        <v>384</v>
      </c>
      <c r="D60" s="376" t="s">
        <v>385</v>
      </c>
      <c r="E60" s="376" t="s">
        <v>216</v>
      </c>
      <c r="F60" s="377" t="s">
        <v>166</v>
      </c>
      <c r="G60" s="376" t="s">
        <v>267</v>
      </c>
      <c r="H60" s="378"/>
      <c r="I60" s="378"/>
      <c r="J60" s="376" t="s">
        <v>186</v>
      </c>
      <c r="K60" s="376" t="s">
        <v>386</v>
      </c>
      <c r="L60" s="376" t="s">
        <v>170</v>
      </c>
      <c r="M60" s="376" t="s">
        <v>171</v>
      </c>
      <c r="N60" s="376" t="s">
        <v>172</v>
      </c>
      <c r="O60" s="379">
        <v>1</v>
      </c>
      <c r="P60" s="385">
        <v>1</v>
      </c>
      <c r="Q60" s="385">
        <v>1</v>
      </c>
      <c r="R60" s="380">
        <v>80</v>
      </c>
      <c r="S60" s="385">
        <v>1</v>
      </c>
      <c r="T60" s="380">
        <v>68736.100000000006</v>
      </c>
      <c r="U60" s="380">
        <v>0</v>
      </c>
      <c r="V60" s="380">
        <v>26108.01</v>
      </c>
      <c r="W60" s="380">
        <v>70720</v>
      </c>
      <c r="X60" s="380">
        <v>27559.85</v>
      </c>
      <c r="Y60" s="380">
        <v>70720</v>
      </c>
      <c r="Z60" s="380">
        <v>27213.33</v>
      </c>
      <c r="AA60" s="376" t="s">
        <v>387</v>
      </c>
      <c r="AB60" s="376" t="s">
        <v>388</v>
      </c>
      <c r="AC60" s="376" t="s">
        <v>389</v>
      </c>
      <c r="AD60" s="376" t="s">
        <v>263</v>
      </c>
      <c r="AE60" s="376" t="s">
        <v>386</v>
      </c>
      <c r="AF60" s="376" t="s">
        <v>177</v>
      </c>
      <c r="AG60" s="376" t="s">
        <v>178</v>
      </c>
      <c r="AH60" s="379">
        <v>34</v>
      </c>
      <c r="AI60" s="381">
        <v>30646.799999999999</v>
      </c>
      <c r="AJ60" s="376" t="s">
        <v>179</v>
      </c>
      <c r="AK60" s="376" t="s">
        <v>180</v>
      </c>
      <c r="AL60" s="376" t="s">
        <v>181</v>
      </c>
      <c r="AM60" s="376" t="s">
        <v>182</v>
      </c>
      <c r="AN60" s="376" t="s">
        <v>68</v>
      </c>
      <c r="AO60" s="379">
        <v>80</v>
      </c>
      <c r="AP60" s="385">
        <v>1</v>
      </c>
      <c r="AQ60" s="385">
        <v>1</v>
      </c>
      <c r="AR60" s="383" t="s">
        <v>183</v>
      </c>
      <c r="AS60" s="387">
        <f t="shared" si="27"/>
        <v>1</v>
      </c>
      <c r="AT60">
        <f t="shared" si="28"/>
        <v>1</v>
      </c>
      <c r="AU60" s="387">
        <f>IF(AT60=0,"",IF(AND(AT60=1,M60="F",SUMIF(C2:C206,C60,AS2:AS206)&lt;=1),SUMIF(C2:C206,C60,AS2:AS206),IF(AND(AT60=1,M60="F",SUMIF(C2:C206,C60,AS2:AS206)&gt;1),1,"")))</f>
        <v>1</v>
      </c>
      <c r="AV60" s="387" t="str">
        <f>IF(AT60=0,"",IF(AND(AT60=3,M60="F",SUMIF(C2:C206,C60,AS2:AS206)&lt;=1),SUMIF(C2:C206,C60,AS2:AS206),IF(AND(AT60=3,M60="F",SUMIF(C2:C206,C60,AS2:AS206)&gt;1),1,"")))</f>
        <v/>
      </c>
      <c r="AW60" s="387">
        <f>SUMIF(C2:C206,C60,O2:O206)</f>
        <v>1</v>
      </c>
      <c r="AX60" s="387">
        <f>IF(AND(M60="F",AS60&lt;&gt;0),SUMIF(C2:C206,C60,W2:W206),0)</f>
        <v>70720</v>
      </c>
      <c r="AY60" s="387">
        <f t="shared" si="29"/>
        <v>70720</v>
      </c>
      <c r="AZ60" s="387" t="str">
        <f t="shared" si="30"/>
        <v/>
      </c>
      <c r="BA60" s="387">
        <f t="shared" si="31"/>
        <v>0</v>
      </c>
      <c r="BB60" s="387">
        <f t="shared" si="0"/>
        <v>11650</v>
      </c>
      <c r="BC60" s="387">
        <f t="shared" si="1"/>
        <v>0</v>
      </c>
      <c r="BD60" s="387">
        <f t="shared" si="2"/>
        <v>4384.6400000000003</v>
      </c>
      <c r="BE60" s="387">
        <f t="shared" si="3"/>
        <v>1025.44</v>
      </c>
      <c r="BF60" s="387">
        <f t="shared" si="4"/>
        <v>8443.9680000000008</v>
      </c>
      <c r="BG60" s="387">
        <f t="shared" si="5"/>
        <v>509.89120000000003</v>
      </c>
      <c r="BH60" s="387">
        <f t="shared" si="6"/>
        <v>346.52799999999996</v>
      </c>
      <c r="BI60" s="387">
        <f t="shared" si="7"/>
        <v>216.4032</v>
      </c>
      <c r="BJ60" s="387">
        <f t="shared" si="8"/>
        <v>983.00799999999992</v>
      </c>
      <c r="BK60" s="387">
        <f t="shared" si="9"/>
        <v>0</v>
      </c>
      <c r="BL60" s="387">
        <f t="shared" si="32"/>
        <v>15909.878400000001</v>
      </c>
      <c r="BM60" s="387">
        <f t="shared" si="33"/>
        <v>0</v>
      </c>
      <c r="BN60" s="387">
        <f t="shared" si="10"/>
        <v>11650</v>
      </c>
      <c r="BO60" s="387">
        <f t="shared" si="11"/>
        <v>0</v>
      </c>
      <c r="BP60" s="387">
        <f t="shared" si="12"/>
        <v>4384.6400000000003</v>
      </c>
      <c r="BQ60" s="387">
        <f t="shared" si="13"/>
        <v>1025.44</v>
      </c>
      <c r="BR60" s="387">
        <f t="shared" si="14"/>
        <v>8443.9680000000008</v>
      </c>
      <c r="BS60" s="387">
        <f t="shared" si="15"/>
        <v>509.89120000000003</v>
      </c>
      <c r="BT60" s="387">
        <f t="shared" si="16"/>
        <v>0</v>
      </c>
      <c r="BU60" s="387">
        <f t="shared" si="17"/>
        <v>216.4032</v>
      </c>
      <c r="BV60" s="387">
        <f t="shared" si="18"/>
        <v>983.00799999999992</v>
      </c>
      <c r="BW60" s="387">
        <f t="shared" si="19"/>
        <v>0</v>
      </c>
      <c r="BX60" s="387">
        <f t="shared" si="34"/>
        <v>15563.350400000001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-346.52799999999996</v>
      </c>
      <c r="CG60" s="387">
        <f t="shared" si="24"/>
        <v>0</v>
      </c>
      <c r="CH60" s="387">
        <f t="shared" si="25"/>
        <v>0</v>
      </c>
      <c r="CI60" s="387">
        <f t="shared" si="26"/>
        <v>0</v>
      </c>
      <c r="CJ60" s="387">
        <f t="shared" si="39"/>
        <v>-346.52799999999996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0365-00</v>
      </c>
    </row>
    <row r="61" spans="1:92" ht="15.75" thickBot="1" x14ac:dyDescent="0.3">
      <c r="A61" s="376" t="s">
        <v>161</v>
      </c>
      <c r="B61" s="376" t="s">
        <v>162</v>
      </c>
      <c r="C61" s="376" t="s">
        <v>390</v>
      </c>
      <c r="D61" s="376" t="s">
        <v>281</v>
      </c>
      <c r="E61" s="376" t="s">
        <v>216</v>
      </c>
      <c r="F61" s="377" t="s">
        <v>166</v>
      </c>
      <c r="G61" s="376" t="s">
        <v>267</v>
      </c>
      <c r="H61" s="378"/>
      <c r="I61" s="378"/>
      <c r="J61" s="376" t="s">
        <v>186</v>
      </c>
      <c r="K61" s="376" t="s">
        <v>282</v>
      </c>
      <c r="L61" s="376" t="s">
        <v>283</v>
      </c>
      <c r="M61" s="376" t="s">
        <v>171</v>
      </c>
      <c r="N61" s="376" t="s">
        <v>172</v>
      </c>
      <c r="O61" s="379">
        <v>1</v>
      </c>
      <c r="P61" s="385">
        <v>1</v>
      </c>
      <c r="Q61" s="385">
        <v>1</v>
      </c>
      <c r="R61" s="380">
        <v>80</v>
      </c>
      <c r="S61" s="385">
        <v>1</v>
      </c>
      <c r="T61" s="380">
        <v>73575.3</v>
      </c>
      <c r="U61" s="380">
        <v>0</v>
      </c>
      <c r="V61" s="380">
        <v>27258.05</v>
      </c>
      <c r="W61" s="380">
        <v>76169.600000000006</v>
      </c>
      <c r="X61" s="380">
        <v>28785.84</v>
      </c>
      <c r="Y61" s="380">
        <v>76169.600000000006</v>
      </c>
      <c r="Z61" s="380">
        <v>28412.61</v>
      </c>
      <c r="AA61" s="376" t="s">
        <v>391</v>
      </c>
      <c r="AB61" s="376" t="s">
        <v>392</v>
      </c>
      <c r="AC61" s="376" t="s">
        <v>393</v>
      </c>
      <c r="AD61" s="376" t="s">
        <v>279</v>
      </c>
      <c r="AE61" s="376" t="s">
        <v>282</v>
      </c>
      <c r="AF61" s="376" t="s">
        <v>288</v>
      </c>
      <c r="AG61" s="376" t="s">
        <v>178</v>
      </c>
      <c r="AH61" s="381">
        <v>36.619999999999997</v>
      </c>
      <c r="AI61" s="379">
        <v>20122</v>
      </c>
      <c r="AJ61" s="376" t="s">
        <v>179</v>
      </c>
      <c r="AK61" s="376" t="s">
        <v>180</v>
      </c>
      <c r="AL61" s="376" t="s">
        <v>181</v>
      </c>
      <c r="AM61" s="376" t="s">
        <v>182</v>
      </c>
      <c r="AN61" s="376" t="s">
        <v>68</v>
      </c>
      <c r="AO61" s="379">
        <v>80</v>
      </c>
      <c r="AP61" s="385">
        <v>1</v>
      </c>
      <c r="AQ61" s="385">
        <v>1</v>
      </c>
      <c r="AR61" s="383" t="s">
        <v>183</v>
      </c>
      <c r="AS61" s="387">
        <f t="shared" si="27"/>
        <v>1</v>
      </c>
      <c r="AT61">
        <f t="shared" si="28"/>
        <v>1</v>
      </c>
      <c r="AU61" s="387">
        <f>IF(AT61=0,"",IF(AND(AT61=1,M61="F",SUMIF(C2:C206,C61,AS2:AS206)&lt;=1),SUMIF(C2:C206,C61,AS2:AS206),IF(AND(AT61=1,M61="F",SUMIF(C2:C206,C61,AS2:AS206)&gt;1),1,"")))</f>
        <v>1</v>
      </c>
      <c r="AV61" s="387" t="str">
        <f>IF(AT61=0,"",IF(AND(AT61=3,M61="F",SUMIF(C2:C206,C61,AS2:AS206)&lt;=1),SUMIF(C2:C206,C61,AS2:AS206),IF(AND(AT61=3,M61="F",SUMIF(C2:C206,C61,AS2:AS206)&gt;1),1,"")))</f>
        <v/>
      </c>
      <c r="AW61" s="387">
        <f>SUMIF(C2:C206,C61,O2:O206)</f>
        <v>1</v>
      </c>
      <c r="AX61" s="387">
        <f>IF(AND(M61="F",AS61&lt;&gt;0),SUMIF(C2:C206,C61,W2:W206),0)</f>
        <v>76169.600000000006</v>
      </c>
      <c r="AY61" s="387">
        <f t="shared" si="29"/>
        <v>76169.600000000006</v>
      </c>
      <c r="AZ61" s="387" t="str">
        <f t="shared" si="30"/>
        <v/>
      </c>
      <c r="BA61" s="387">
        <f t="shared" si="31"/>
        <v>0</v>
      </c>
      <c r="BB61" s="387">
        <f t="shared" si="0"/>
        <v>11650</v>
      </c>
      <c r="BC61" s="387">
        <f t="shared" si="1"/>
        <v>0</v>
      </c>
      <c r="BD61" s="387">
        <f t="shared" si="2"/>
        <v>4722.5152000000007</v>
      </c>
      <c r="BE61" s="387">
        <f t="shared" si="3"/>
        <v>1104.4592000000002</v>
      </c>
      <c r="BF61" s="387">
        <f t="shared" si="4"/>
        <v>9094.6502400000008</v>
      </c>
      <c r="BG61" s="387">
        <f t="shared" si="5"/>
        <v>549.18281600000012</v>
      </c>
      <c r="BH61" s="387">
        <f t="shared" si="6"/>
        <v>373.23104000000001</v>
      </c>
      <c r="BI61" s="387">
        <f t="shared" si="7"/>
        <v>233.07897600000001</v>
      </c>
      <c r="BJ61" s="387">
        <f t="shared" si="8"/>
        <v>1058.7574400000001</v>
      </c>
      <c r="BK61" s="387">
        <f t="shared" si="9"/>
        <v>0</v>
      </c>
      <c r="BL61" s="387">
        <f t="shared" si="32"/>
        <v>17135.874912000003</v>
      </c>
      <c r="BM61" s="387">
        <f t="shared" si="33"/>
        <v>0</v>
      </c>
      <c r="BN61" s="387">
        <f t="shared" si="10"/>
        <v>11650</v>
      </c>
      <c r="BO61" s="387">
        <f t="shared" si="11"/>
        <v>0</v>
      </c>
      <c r="BP61" s="387">
        <f t="shared" si="12"/>
        <v>4722.5152000000007</v>
      </c>
      <c r="BQ61" s="387">
        <f t="shared" si="13"/>
        <v>1104.4592000000002</v>
      </c>
      <c r="BR61" s="387">
        <f t="shared" si="14"/>
        <v>9094.6502400000008</v>
      </c>
      <c r="BS61" s="387">
        <f t="shared" si="15"/>
        <v>549.18281600000012</v>
      </c>
      <c r="BT61" s="387">
        <f t="shared" si="16"/>
        <v>0</v>
      </c>
      <c r="BU61" s="387">
        <f t="shared" si="17"/>
        <v>233.07897600000001</v>
      </c>
      <c r="BV61" s="387">
        <f t="shared" si="18"/>
        <v>1058.7574400000001</v>
      </c>
      <c r="BW61" s="387">
        <f t="shared" si="19"/>
        <v>0</v>
      </c>
      <c r="BX61" s="387">
        <f t="shared" si="34"/>
        <v>16762.643872000004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0</v>
      </c>
      <c r="CE61" s="387">
        <f t="shared" si="22"/>
        <v>0</v>
      </c>
      <c r="CF61" s="387">
        <f t="shared" si="23"/>
        <v>-373.23104000000001</v>
      </c>
      <c r="CG61" s="387">
        <f t="shared" si="24"/>
        <v>0</v>
      </c>
      <c r="CH61" s="387">
        <f t="shared" si="25"/>
        <v>0</v>
      </c>
      <c r="CI61" s="387">
        <f t="shared" si="26"/>
        <v>0</v>
      </c>
      <c r="CJ61" s="387">
        <f t="shared" si="39"/>
        <v>-373.23104000000001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0365-00</v>
      </c>
    </row>
    <row r="62" spans="1:92" ht="15.75" thickBot="1" x14ac:dyDescent="0.3">
      <c r="A62" s="376" t="s">
        <v>161</v>
      </c>
      <c r="B62" s="376" t="s">
        <v>162</v>
      </c>
      <c r="C62" s="376" t="s">
        <v>394</v>
      </c>
      <c r="D62" s="376" t="s">
        <v>395</v>
      </c>
      <c r="E62" s="376" t="s">
        <v>216</v>
      </c>
      <c r="F62" s="377" t="s">
        <v>166</v>
      </c>
      <c r="G62" s="376" t="s">
        <v>267</v>
      </c>
      <c r="H62" s="378"/>
      <c r="I62" s="378"/>
      <c r="J62" s="376" t="s">
        <v>186</v>
      </c>
      <c r="K62" s="376" t="s">
        <v>396</v>
      </c>
      <c r="L62" s="376" t="s">
        <v>224</v>
      </c>
      <c r="M62" s="376" t="s">
        <v>171</v>
      </c>
      <c r="N62" s="376" t="s">
        <v>172</v>
      </c>
      <c r="O62" s="379">
        <v>1</v>
      </c>
      <c r="P62" s="385">
        <v>1</v>
      </c>
      <c r="Q62" s="385">
        <v>1</v>
      </c>
      <c r="R62" s="380">
        <v>80</v>
      </c>
      <c r="S62" s="385">
        <v>1</v>
      </c>
      <c r="T62" s="380">
        <v>90114.4</v>
      </c>
      <c r="U62" s="380">
        <v>0</v>
      </c>
      <c r="V62" s="380">
        <v>30505.61</v>
      </c>
      <c r="W62" s="380">
        <v>92892.800000000003</v>
      </c>
      <c r="X62" s="380">
        <v>32548.06</v>
      </c>
      <c r="Y62" s="380">
        <v>92892.800000000003</v>
      </c>
      <c r="Z62" s="380">
        <v>32092.89</v>
      </c>
      <c r="AA62" s="376" t="s">
        <v>397</v>
      </c>
      <c r="AB62" s="376" t="s">
        <v>398</v>
      </c>
      <c r="AC62" s="376" t="s">
        <v>399</v>
      </c>
      <c r="AD62" s="376" t="s">
        <v>269</v>
      </c>
      <c r="AE62" s="376" t="s">
        <v>396</v>
      </c>
      <c r="AF62" s="376" t="s">
        <v>229</v>
      </c>
      <c r="AG62" s="376" t="s">
        <v>178</v>
      </c>
      <c r="AH62" s="381">
        <v>44.66</v>
      </c>
      <c r="AI62" s="379">
        <v>42733</v>
      </c>
      <c r="AJ62" s="376" t="s">
        <v>179</v>
      </c>
      <c r="AK62" s="376" t="s">
        <v>180</v>
      </c>
      <c r="AL62" s="376" t="s">
        <v>181</v>
      </c>
      <c r="AM62" s="376" t="s">
        <v>182</v>
      </c>
      <c r="AN62" s="376" t="s">
        <v>68</v>
      </c>
      <c r="AO62" s="379">
        <v>80</v>
      </c>
      <c r="AP62" s="385">
        <v>1</v>
      </c>
      <c r="AQ62" s="385">
        <v>1</v>
      </c>
      <c r="AR62" s="383" t="s">
        <v>183</v>
      </c>
      <c r="AS62" s="387">
        <f t="shared" si="27"/>
        <v>1</v>
      </c>
      <c r="AT62">
        <f t="shared" si="28"/>
        <v>1</v>
      </c>
      <c r="AU62" s="387">
        <f>IF(AT62=0,"",IF(AND(AT62=1,M62="F",SUMIF(C2:C206,C62,AS2:AS206)&lt;=1),SUMIF(C2:C206,C62,AS2:AS206),IF(AND(AT62=1,M62="F",SUMIF(C2:C206,C62,AS2:AS206)&gt;1),1,"")))</f>
        <v>1</v>
      </c>
      <c r="AV62" s="387" t="str">
        <f>IF(AT62=0,"",IF(AND(AT62=3,M62="F",SUMIF(C2:C206,C62,AS2:AS206)&lt;=1),SUMIF(C2:C206,C62,AS2:AS206),IF(AND(AT62=3,M62="F",SUMIF(C2:C206,C62,AS2:AS206)&gt;1),1,"")))</f>
        <v/>
      </c>
      <c r="AW62" s="387">
        <f>SUMIF(C2:C206,C62,O2:O206)</f>
        <v>1</v>
      </c>
      <c r="AX62" s="387">
        <f>IF(AND(M62="F",AS62&lt;&gt;0),SUMIF(C2:C206,C62,W2:W206),0)</f>
        <v>92892.800000000003</v>
      </c>
      <c r="AY62" s="387">
        <f t="shared" si="29"/>
        <v>92892.800000000003</v>
      </c>
      <c r="AZ62" s="387" t="str">
        <f t="shared" si="30"/>
        <v/>
      </c>
      <c r="BA62" s="387">
        <f t="shared" si="31"/>
        <v>0</v>
      </c>
      <c r="BB62" s="387">
        <f t="shared" si="0"/>
        <v>11650</v>
      </c>
      <c r="BC62" s="387">
        <f t="shared" si="1"/>
        <v>0</v>
      </c>
      <c r="BD62" s="387">
        <f t="shared" si="2"/>
        <v>5759.3536000000004</v>
      </c>
      <c r="BE62" s="387">
        <f t="shared" si="3"/>
        <v>1346.9456</v>
      </c>
      <c r="BF62" s="387">
        <f t="shared" si="4"/>
        <v>11091.400320000001</v>
      </c>
      <c r="BG62" s="387">
        <f t="shared" si="5"/>
        <v>669.75708800000007</v>
      </c>
      <c r="BH62" s="387">
        <f t="shared" si="6"/>
        <v>455.17471999999998</v>
      </c>
      <c r="BI62" s="387">
        <f t="shared" si="7"/>
        <v>284.25196799999998</v>
      </c>
      <c r="BJ62" s="387">
        <f t="shared" si="8"/>
        <v>1291.20992</v>
      </c>
      <c r="BK62" s="387">
        <f t="shared" si="9"/>
        <v>0</v>
      </c>
      <c r="BL62" s="387">
        <f t="shared" si="32"/>
        <v>20898.093216000001</v>
      </c>
      <c r="BM62" s="387">
        <f t="shared" si="33"/>
        <v>0</v>
      </c>
      <c r="BN62" s="387">
        <f t="shared" si="10"/>
        <v>11650</v>
      </c>
      <c r="BO62" s="387">
        <f t="shared" si="11"/>
        <v>0</v>
      </c>
      <c r="BP62" s="387">
        <f t="shared" si="12"/>
        <v>5759.3536000000004</v>
      </c>
      <c r="BQ62" s="387">
        <f t="shared" si="13"/>
        <v>1346.9456</v>
      </c>
      <c r="BR62" s="387">
        <f t="shared" si="14"/>
        <v>11091.400320000001</v>
      </c>
      <c r="BS62" s="387">
        <f t="shared" si="15"/>
        <v>669.75708800000007</v>
      </c>
      <c r="BT62" s="387">
        <f t="shared" si="16"/>
        <v>0</v>
      </c>
      <c r="BU62" s="387">
        <f t="shared" si="17"/>
        <v>284.25196799999998</v>
      </c>
      <c r="BV62" s="387">
        <f t="shared" si="18"/>
        <v>1291.20992</v>
      </c>
      <c r="BW62" s="387">
        <f t="shared" si="19"/>
        <v>0</v>
      </c>
      <c r="BX62" s="387">
        <f t="shared" si="34"/>
        <v>20442.918496000002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-455.17471999999998</v>
      </c>
      <c r="CG62" s="387">
        <f t="shared" si="24"/>
        <v>0</v>
      </c>
      <c r="CH62" s="387">
        <f t="shared" si="25"/>
        <v>0</v>
      </c>
      <c r="CI62" s="387">
        <f t="shared" si="26"/>
        <v>0</v>
      </c>
      <c r="CJ62" s="387">
        <f t="shared" si="39"/>
        <v>-455.17471999999998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0365-00</v>
      </c>
    </row>
    <row r="63" spans="1:92" ht="15.75" thickBot="1" x14ac:dyDescent="0.3">
      <c r="A63" s="376" t="s">
        <v>161</v>
      </c>
      <c r="B63" s="376" t="s">
        <v>162</v>
      </c>
      <c r="C63" s="376" t="s">
        <v>400</v>
      </c>
      <c r="D63" s="376" t="s">
        <v>281</v>
      </c>
      <c r="E63" s="376" t="s">
        <v>216</v>
      </c>
      <c r="F63" s="377" t="s">
        <v>166</v>
      </c>
      <c r="G63" s="376" t="s">
        <v>267</v>
      </c>
      <c r="H63" s="378"/>
      <c r="I63" s="378"/>
      <c r="J63" s="376" t="s">
        <v>186</v>
      </c>
      <c r="K63" s="376" t="s">
        <v>282</v>
      </c>
      <c r="L63" s="376" t="s">
        <v>283</v>
      </c>
      <c r="M63" s="376" t="s">
        <v>171</v>
      </c>
      <c r="N63" s="376" t="s">
        <v>172</v>
      </c>
      <c r="O63" s="379">
        <v>1</v>
      </c>
      <c r="P63" s="385">
        <v>1</v>
      </c>
      <c r="Q63" s="385">
        <v>1</v>
      </c>
      <c r="R63" s="380">
        <v>80</v>
      </c>
      <c r="S63" s="385">
        <v>1</v>
      </c>
      <c r="T63" s="380">
        <v>67279.12</v>
      </c>
      <c r="U63" s="380">
        <v>0</v>
      </c>
      <c r="V63" s="380">
        <v>26153.33</v>
      </c>
      <c r="W63" s="380">
        <v>69451.199999999997</v>
      </c>
      <c r="X63" s="380">
        <v>27274.42</v>
      </c>
      <c r="Y63" s="380">
        <v>69451.199999999997</v>
      </c>
      <c r="Z63" s="380">
        <v>26934.11</v>
      </c>
      <c r="AA63" s="376" t="s">
        <v>401</v>
      </c>
      <c r="AB63" s="376" t="s">
        <v>402</v>
      </c>
      <c r="AC63" s="376" t="s">
        <v>403</v>
      </c>
      <c r="AD63" s="376" t="s">
        <v>404</v>
      </c>
      <c r="AE63" s="376" t="s">
        <v>282</v>
      </c>
      <c r="AF63" s="376" t="s">
        <v>288</v>
      </c>
      <c r="AG63" s="376" t="s">
        <v>178</v>
      </c>
      <c r="AH63" s="381">
        <v>33.39</v>
      </c>
      <c r="AI63" s="379">
        <v>10610</v>
      </c>
      <c r="AJ63" s="376" t="s">
        <v>179</v>
      </c>
      <c r="AK63" s="376" t="s">
        <v>180</v>
      </c>
      <c r="AL63" s="376" t="s">
        <v>181</v>
      </c>
      <c r="AM63" s="376" t="s">
        <v>182</v>
      </c>
      <c r="AN63" s="376" t="s">
        <v>68</v>
      </c>
      <c r="AO63" s="379">
        <v>80</v>
      </c>
      <c r="AP63" s="385">
        <v>1</v>
      </c>
      <c r="AQ63" s="385">
        <v>1</v>
      </c>
      <c r="AR63" s="383" t="s">
        <v>183</v>
      </c>
      <c r="AS63" s="387">
        <f t="shared" si="27"/>
        <v>1</v>
      </c>
      <c r="AT63">
        <f t="shared" si="28"/>
        <v>1</v>
      </c>
      <c r="AU63" s="387">
        <f>IF(AT63=0,"",IF(AND(AT63=1,M63="F",SUMIF(C2:C206,C63,AS2:AS206)&lt;=1),SUMIF(C2:C206,C63,AS2:AS206),IF(AND(AT63=1,M63="F",SUMIF(C2:C206,C63,AS2:AS206)&gt;1),1,"")))</f>
        <v>1</v>
      </c>
      <c r="AV63" s="387" t="str">
        <f>IF(AT63=0,"",IF(AND(AT63=3,M63="F",SUMIF(C2:C206,C63,AS2:AS206)&lt;=1),SUMIF(C2:C206,C63,AS2:AS206),IF(AND(AT63=3,M63="F",SUMIF(C2:C206,C63,AS2:AS206)&gt;1),1,"")))</f>
        <v/>
      </c>
      <c r="AW63" s="387">
        <f>SUMIF(C2:C206,C63,O2:O206)</f>
        <v>1</v>
      </c>
      <c r="AX63" s="387">
        <f>IF(AND(M63="F",AS63&lt;&gt;0),SUMIF(C2:C206,C63,W2:W206),0)</f>
        <v>69451.199999999997</v>
      </c>
      <c r="AY63" s="387">
        <f t="shared" si="29"/>
        <v>69451.199999999997</v>
      </c>
      <c r="AZ63" s="387" t="str">
        <f t="shared" si="30"/>
        <v/>
      </c>
      <c r="BA63" s="387">
        <f t="shared" si="31"/>
        <v>0</v>
      </c>
      <c r="BB63" s="387">
        <f t="shared" si="0"/>
        <v>11650</v>
      </c>
      <c r="BC63" s="387">
        <f t="shared" si="1"/>
        <v>0</v>
      </c>
      <c r="BD63" s="387">
        <f t="shared" si="2"/>
        <v>4305.9744000000001</v>
      </c>
      <c r="BE63" s="387">
        <f t="shared" si="3"/>
        <v>1007.0424</v>
      </c>
      <c r="BF63" s="387">
        <f t="shared" si="4"/>
        <v>8292.4732800000002</v>
      </c>
      <c r="BG63" s="387">
        <f t="shared" si="5"/>
        <v>500.74315200000001</v>
      </c>
      <c r="BH63" s="387">
        <f t="shared" si="6"/>
        <v>340.31088</v>
      </c>
      <c r="BI63" s="387">
        <f t="shared" si="7"/>
        <v>212.52067199999996</v>
      </c>
      <c r="BJ63" s="387">
        <f t="shared" si="8"/>
        <v>965.37167999999986</v>
      </c>
      <c r="BK63" s="387">
        <f t="shared" si="9"/>
        <v>0</v>
      </c>
      <c r="BL63" s="387">
        <f t="shared" si="32"/>
        <v>15624.436464</v>
      </c>
      <c r="BM63" s="387">
        <f t="shared" si="33"/>
        <v>0</v>
      </c>
      <c r="BN63" s="387">
        <f t="shared" si="10"/>
        <v>11650</v>
      </c>
      <c r="BO63" s="387">
        <f t="shared" si="11"/>
        <v>0</v>
      </c>
      <c r="BP63" s="387">
        <f t="shared" si="12"/>
        <v>4305.9744000000001</v>
      </c>
      <c r="BQ63" s="387">
        <f t="shared" si="13"/>
        <v>1007.0424</v>
      </c>
      <c r="BR63" s="387">
        <f t="shared" si="14"/>
        <v>8292.4732800000002</v>
      </c>
      <c r="BS63" s="387">
        <f t="shared" si="15"/>
        <v>500.74315200000001</v>
      </c>
      <c r="BT63" s="387">
        <f t="shared" si="16"/>
        <v>0</v>
      </c>
      <c r="BU63" s="387">
        <f t="shared" si="17"/>
        <v>212.52067199999996</v>
      </c>
      <c r="BV63" s="387">
        <f t="shared" si="18"/>
        <v>965.37167999999986</v>
      </c>
      <c r="BW63" s="387">
        <f t="shared" si="19"/>
        <v>0</v>
      </c>
      <c r="BX63" s="387">
        <f t="shared" si="34"/>
        <v>15284.125583999999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0</v>
      </c>
      <c r="CE63" s="387">
        <f t="shared" si="22"/>
        <v>0</v>
      </c>
      <c r="CF63" s="387">
        <f t="shared" si="23"/>
        <v>-340.31088</v>
      </c>
      <c r="CG63" s="387">
        <f t="shared" si="24"/>
        <v>0</v>
      </c>
      <c r="CH63" s="387">
        <f t="shared" si="25"/>
        <v>0</v>
      </c>
      <c r="CI63" s="387">
        <f t="shared" si="26"/>
        <v>0</v>
      </c>
      <c r="CJ63" s="387">
        <f t="shared" si="39"/>
        <v>-340.31088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0365-00</v>
      </c>
    </row>
    <row r="64" spans="1:92" ht="15.75" thickBot="1" x14ac:dyDescent="0.3">
      <c r="A64" s="376" t="s">
        <v>161</v>
      </c>
      <c r="B64" s="376" t="s">
        <v>162</v>
      </c>
      <c r="C64" s="376" t="s">
        <v>405</v>
      </c>
      <c r="D64" s="376" t="s">
        <v>406</v>
      </c>
      <c r="E64" s="376" t="s">
        <v>251</v>
      </c>
      <c r="F64" s="382" t="s">
        <v>407</v>
      </c>
      <c r="G64" s="376" t="s">
        <v>267</v>
      </c>
      <c r="H64" s="378"/>
      <c r="I64" s="378"/>
      <c r="J64" s="376" t="s">
        <v>186</v>
      </c>
      <c r="K64" s="376" t="s">
        <v>408</v>
      </c>
      <c r="L64" s="376" t="s">
        <v>269</v>
      </c>
      <c r="M64" s="376" t="s">
        <v>171</v>
      </c>
      <c r="N64" s="376" t="s">
        <v>172</v>
      </c>
      <c r="O64" s="379">
        <v>1</v>
      </c>
      <c r="P64" s="385">
        <v>1</v>
      </c>
      <c r="Q64" s="385">
        <v>1</v>
      </c>
      <c r="R64" s="380">
        <v>80</v>
      </c>
      <c r="S64" s="385">
        <v>1</v>
      </c>
      <c r="T64" s="380">
        <v>19124.09</v>
      </c>
      <c r="U64" s="380">
        <v>0</v>
      </c>
      <c r="V64" s="380">
        <v>9352.14</v>
      </c>
      <c r="W64" s="380">
        <v>51521.599999999999</v>
      </c>
      <c r="X64" s="380">
        <v>23240.78</v>
      </c>
      <c r="Y64" s="380">
        <v>51521.599999999999</v>
      </c>
      <c r="Z64" s="380">
        <v>22988.33</v>
      </c>
      <c r="AA64" s="376" t="s">
        <v>409</v>
      </c>
      <c r="AB64" s="376" t="s">
        <v>410</v>
      </c>
      <c r="AC64" s="376" t="s">
        <v>357</v>
      </c>
      <c r="AD64" s="376" t="s">
        <v>228</v>
      </c>
      <c r="AE64" s="376" t="s">
        <v>408</v>
      </c>
      <c r="AF64" s="376" t="s">
        <v>274</v>
      </c>
      <c r="AG64" s="376" t="s">
        <v>178</v>
      </c>
      <c r="AH64" s="381">
        <v>24.77</v>
      </c>
      <c r="AI64" s="379">
        <v>720</v>
      </c>
      <c r="AJ64" s="376" t="s">
        <v>179</v>
      </c>
      <c r="AK64" s="376" t="s">
        <v>180</v>
      </c>
      <c r="AL64" s="376" t="s">
        <v>181</v>
      </c>
      <c r="AM64" s="376" t="s">
        <v>182</v>
      </c>
      <c r="AN64" s="376" t="s">
        <v>68</v>
      </c>
      <c r="AO64" s="379">
        <v>80</v>
      </c>
      <c r="AP64" s="385">
        <v>1</v>
      </c>
      <c r="AQ64" s="385">
        <v>1</v>
      </c>
      <c r="AR64" s="383" t="s">
        <v>183</v>
      </c>
      <c r="AS64" s="387">
        <f t="shared" si="27"/>
        <v>1</v>
      </c>
      <c r="AT64">
        <f t="shared" si="28"/>
        <v>1</v>
      </c>
      <c r="AU64" s="387">
        <f>IF(AT64=0,"",IF(AND(AT64=1,M64="F",SUMIF(C2:C206,C64,AS2:AS206)&lt;=1),SUMIF(C2:C206,C64,AS2:AS206),IF(AND(AT64=1,M64="F",SUMIF(C2:C206,C64,AS2:AS206)&gt;1),1,"")))</f>
        <v>1</v>
      </c>
      <c r="AV64" s="387" t="str">
        <f>IF(AT64=0,"",IF(AND(AT64=3,M64="F",SUMIF(C2:C206,C64,AS2:AS206)&lt;=1),SUMIF(C2:C206,C64,AS2:AS206),IF(AND(AT64=3,M64="F",SUMIF(C2:C206,C64,AS2:AS206)&gt;1),1,"")))</f>
        <v/>
      </c>
      <c r="AW64" s="387">
        <f>SUMIF(C2:C206,C64,O2:O206)</f>
        <v>1</v>
      </c>
      <c r="AX64" s="387">
        <f>IF(AND(M64="F",AS64&lt;&gt;0),SUMIF(C2:C206,C64,W2:W206),0)</f>
        <v>51521.599999999999</v>
      </c>
      <c r="AY64" s="387">
        <f t="shared" si="29"/>
        <v>51521.599999999999</v>
      </c>
      <c r="AZ64" s="387" t="str">
        <f t="shared" si="30"/>
        <v/>
      </c>
      <c r="BA64" s="387">
        <f t="shared" si="31"/>
        <v>0</v>
      </c>
      <c r="BB64" s="387">
        <f t="shared" si="0"/>
        <v>11650</v>
      </c>
      <c r="BC64" s="387">
        <f t="shared" si="1"/>
        <v>0</v>
      </c>
      <c r="BD64" s="387">
        <f t="shared" si="2"/>
        <v>3194.3391999999999</v>
      </c>
      <c r="BE64" s="387">
        <f t="shared" si="3"/>
        <v>747.06320000000005</v>
      </c>
      <c r="BF64" s="387">
        <f t="shared" si="4"/>
        <v>6151.67904</v>
      </c>
      <c r="BG64" s="387">
        <f t="shared" si="5"/>
        <v>371.47073599999999</v>
      </c>
      <c r="BH64" s="387">
        <f t="shared" si="6"/>
        <v>252.45583999999999</v>
      </c>
      <c r="BI64" s="387">
        <f t="shared" si="7"/>
        <v>157.65609599999999</v>
      </c>
      <c r="BJ64" s="387">
        <f t="shared" si="8"/>
        <v>716.15023999999994</v>
      </c>
      <c r="BK64" s="387">
        <f t="shared" si="9"/>
        <v>0</v>
      </c>
      <c r="BL64" s="387">
        <f t="shared" si="32"/>
        <v>11590.814352000001</v>
      </c>
      <c r="BM64" s="387">
        <f t="shared" si="33"/>
        <v>0</v>
      </c>
      <c r="BN64" s="387">
        <f t="shared" si="10"/>
        <v>11650</v>
      </c>
      <c r="BO64" s="387">
        <f t="shared" si="11"/>
        <v>0</v>
      </c>
      <c r="BP64" s="387">
        <f t="shared" si="12"/>
        <v>3194.3391999999999</v>
      </c>
      <c r="BQ64" s="387">
        <f t="shared" si="13"/>
        <v>747.06320000000005</v>
      </c>
      <c r="BR64" s="387">
        <f t="shared" si="14"/>
        <v>6151.67904</v>
      </c>
      <c r="BS64" s="387">
        <f t="shared" si="15"/>
        <v>371.47073599999999</v>
      </c>
      <c r="BT64" s="387">
        <f t="shared" si="16"/>
        <v>0</v>
      </c>
      <c r="BU64" s="387">
        <f t="shared" si="17"/>
        <v>157.65609599999999</v>
      </c>
      <c r="BV64" s="387">
        <f t="shared" si="18"/>
        <v>716.15023999999994</v>
      </c>
      <c r="BW64" s="387">
        <f t="shared" si="19"/>
        <v>0</v>
      </c>
      <c r="BX64" s="387">
        <f t="shared" si="34"/>
        <v>11338.358511999999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-252.45583999999999</v>
      </c>
      <c r="CG64" s="387">
        <f t="shared" si="24"/>
        <v>0</v>
      </c>
      <c r="CH64" s="387">
        <f t="shared" si="25"/>
        <v>0</v>
      </c>
      <c r="CI64" s="387">
        <f t="shared" si="26"/>
        <v>0</v>
      </c>
      <c r="CJ64" s="387">
        <f t="shared" si="39"/>
        <v>-252.45583999999999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0450-26</v>
      </c>
    </row>
    <row r="65" spans="1:92" ht="15.75" thickBot="1" x14ac:dyDescent="0.3">
      <c r="A65" s="376" t="s">
        <v>161</v>
      </c>
      <c r="B65" s="376" t="s">
        <v>162</v>
      </c>
      <c r="C65" s="376" t="s">
        <v>411</v>
      </c>
      <c r="D65" s="376" t="s">
        <v>412</v>
      </c>
      <c r="E65" s="376" t="s">
        <v>251</v>
      </c>
      <c r="F65" s="382" t="s">
        <v>407</v>
      </c>
      <c r="G65" s="376" t="s">
        <v>267</v>
      </c>
      <c r="H65" s="378"/>
      <c r="I65" s="378"/>
      <c r="J65" s="376" t="s">
        <v>186</v>
      </c>
      <c r="K65" s="376" t="s">
        <v>413</v>
      </c>
      <c r="L65" s="376" t="s">
        <v>178</v>
      </c>
      <c r="M65" s="376" t="s">
        <v>171</v>
      </c>
      <c r="N65" s="376" t="s">
        <v>172</v>
      </c>
      <c r="O65" s="379">
        <v>1</v>
      </c>
      <c r="P65" s="385">
        <v>1</v>
      </c>
      <c r="Q65" s="385">
        <v>1</v>
      </c>
      <c r="R65" s="380">
        <v>80</v>
      </c>
      <c r="S65" s="385">
        <v>1</v>
      </c>
      <c r="T65" s="380">
        <v>36970.400000000001</v>
      </c>
      <c r="U65" s="380">
        <v>1093.52</v>
      </c>
      <c r="V65" s="380">
        <v>20784.3</v>
      </c>
      <c r="W65" s="380">
        <v>38604.800000000003</v>
      </c>
      <c r="X65" s="380">
        <v>20334.89</v>
      </c>
      <c r="Y65" s="380">
        <v>38604.800000000003</v>
      </c>
      <c r="Z65" s="380">
        <v>20145.73</v>
      </c>
      <c r="AA65" s="376" t="s">
        <v>414</v>
      </c>
      <c r="AB65" s="376" t="s">
        <v>415</v>
      </c>
      <c r="AC65" s="376" t="s">
        <v>416</v>
      </c>
      <c r="AD65" s="376" t="s">
        <v>228</v>
      </c>
      <c r="AE65" s="376" t="s">
        <v>413</v>
      </c>
      <c r="AF65" s="376" t="s">
        <v>250</v>
      </c>
      <c r="AG65" s="376" t="s">
        <v>178</v>
      </c>
      <c r="AH65" s="381">
        <v>18.559999999999999</v>
      </c>
      <c r="AI65" s="381">
        <v>4167.5</v>
      </c>
      <c r="AJ65" s="376" t="s">
        <v>179</v>
      </c>
      <c r="AK65" s="376" t="s">
        <v>180</v>
      </c>
      <c r="AL65" s="376" t="s">
        <v>181</v>
      </c>
      <c r="AM65" s="376" t="s">
        <v>182</v>
      </c>
      <c r="AN65" s="376" t="s">
        <v>68</v>
      </c>
      <c r="AO65" s="379">
        <v>80</v>
      </c>
      <c r="AP65" s="385">
        <v>1</v>
      </c>
      <c r="AQ65" s="385">
        <v>1</v>
      </c>
      <c r="AR65" s="383" t="s">
        <v>183</v>
      </c>
      <c r="AS65" s="387">
        <f t="shared" si="27"/>
        <v>1</v>
      </c>
      <c r="AT65">
        <f t="shared" si="28"/>
        <v>1</v>
      </c>
      <c r="AU65" s="387">
        <f>IF(AT65=0,"",IF(AND(AT65=1,M65="F",SUMIF(C2:C206,C65,AS2:AS206)&lt;=1),SUMIF(C2:C206,C65,AS2:AS206),IF(AND(AT65=1,M65="F",SUMIF(C2:C206,C65,AS2:AS206)&gt;1),1,"")))</f>
        <v>1</v>
      </c>
      <c r="AV65" s="387" t="str">
        <f>IF(AT65=0,"",IF(AND(AT65=3,M65="F",SUMIF(C2:C206,C65,AS2:AS206)&lt;=1),SUMIF(C2:C206,C65,AS2:AS206),IF(AND(AT65=3,M65="F",SUMIF(C2:C206,C65,AS2:AS206)&gt;1),1,"")))</f>
        <v/>
      </c>
      <c r="AW65" s="387">
        <f>SUMIF(C2:C206,C65,O2:O206)</f>
        <v>1</v>
      </c>
      <c r="AX65" s="387">
        <f>IF(AND(M65="F",AS65&lt;&gt;0),SUMIF(C2:C206,C65,W2:W206),0)</f>
        <v>38604.800000000003</v>
      </c>
      <c r="AY65" s="387">
        <f t="shared" si="29"/>
        <v>38604.800000000003</v>
      </c>
      <c r="AZ65" s="387" t="str">
        <f t="shared" si="30"/>
        <v/>
      </c>
      <c r="BA65" s="387">
        <f t="shared" si="31"/>
        <v>0</v>
      </c>
      <c r="BB65" s="387">
        <f t="shared" si="0"/>
        <v>11650</v>
      </c>
      <c r="BC65" s="387">
        <f t="shared" si="1"/>
        <v>0</v>
      </c>
      <c r="BD65" s="387">
        <f t="shared" si="2"/>
        <v>2393.4976000000001</v>
      </c>
      <c r="BE65" s="387">
        <f t="shared" si="3"/>
        <v>559.76960000000008</v>
      </c>
      <c r="BF65" s="387">
        <f t="shared" si="4"/>
        <v>4609.4131200000002</v>
      </c>
      <c r="BG65" s="387">
        <f t="shared" si="5"/>
        <v>278.34060800000003</v>
      </c>
      <c r="BH65" s="387">
        <f t="shared" si="6"/>
        <v>189.16352000000001</v>
      </c>
      <c r="BI65" s="387">
        <f t="shared" si="7"/>
        <v>118.13068800000001</v>
      </c>
      <c r="BJ65" s="387">
        <f t="shared" si="8"/>
        <v>536.60672</v>
      </c>
      <c r="BK65" s="387">
        <f t="shared" si="9"/>
        <v>0</v>
      </c>
      <c r="BL65" s="387">
        <f t="shared" si="32"/>
        <v>8684.9218560000008</v>
      </c>
      <c r="BM65" s="387">
        <f t="shared" si="33"/>
        <v>0</v>
      </c>
      <c r="BN65" s="387">
        <f t="shared" si="10"/>
        <v>11650</v>
      </c>
      <c r="BO65" s="387">
        <f t="shared" si="11"/>
        <v>0</v>
      </c>
      <c r="BP65" s="387">
        <f t="shared" si="12"/>
        <v>2393.4976000000001</v>
      </c>
      <c r="BQ65" s="387">
        <f t="shared" si="13"/>
        <v>559.76960000000008</v>
      </c>
      <c r="BR65" s="387">
        <f t="shared" si="14"/>
        <v>4609.4131200000002</v>
      </c>
      <c r="BS65" s="387">
        <f t="shared" si="15"/>
        <v>278.34060800000003</v>
      </c>
      <c r="BT65" s="387">
        <f t="shared" si="16"/>
        <v>0</v>
      </c>
      <c r="BU65" s="387">
        <f t="shared" si="17"/>
        <v>118.13068800000001</v>
      </c>
      <c r="BV65" s="387">
        <f t="shared" si="18"/>
        <v>536.60672</v>
      </c>
      <c r="BW65" s="387">
        <f t="shared" si="19"/>
        <v>0</v>
      </c>
      <c r="BX65" s="387">
        <f t="shared" si="34"/>
        <v>8495.7583360000008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-189.16352000000001</v>
      </c>
      <c r="CG65" s="387">
        <f t="shared" si="24"/>
        <v>0</v>
      </c>
      <c r="CH65" s="387">
        <f t="shared" si="25"/>
        <v>0</v>
      </c>
      <c r="CI65" s="387">
        <f t="shared" si="26"/>
        <v>0</v>
      </c>
      <c r="CJ65" s="387">
        <f t="shared" si="39"/>
        <v>-189.16352000000001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0450-26</v>
      </c>
    </row>
    <row r="66" spans="1:92" ht="15.75" thickBot="1" x14ac:dyDescent="0.3">
      <c r="A66" s="376" t="s">
        <v>161</v>
      </c>
      <c r="B66" s="376" t="s">
        <v>162</v>
      </c>
      <c r="C66" s="376" t="s">
        <v>417</v>
      </c>
      <c r="D66" s="376" t="s">
        <v>412</v>
      </c>
      <c r="E66" s="376" t="s">
        <v>251</v>
      </c>
      <c r="F66" s="382" t="s">
        <v>407</v>
      </c>
      <c r="G66" s="376" t="s">
        <v>267</v>
      </c>
      <c r="H66" s="378"/>
      <c r="I66" s="378"/>
      <c r="J66" s="376" t="s">
        <v>186</v>
      </c>
      <c r="K66" s="376" t="s">
        <v>413</v>
      </c>
      <c r="L66" s="376" t="s">
        <v>178</v>
      </c>
      <c r="M66" s="376" t="s">
        <v>171</v>
      </c>
      <c r="N66" s="376" t="s">
        <v>172</v>
      </c>
      <c r="O66" s="379">
        <v>1</v>
      </c>
      <c r="P66" s="385">
        <v>1</v>
      </c>
      <c r="Q66" s="385">
        <v>1</v>
      </c>
      <c r="R66" s="380">
        <v>80</v>
      </c>
      <c r="S66" s="385">
        <v>1</v>
      </c>
      <c r="T66" s="380">
        <v>21470.45</v>
      </c>
      <c r="U66" s="380">
        <v>0</v>
      </c>
      <c r="V66" s="380">
        <v>12770.62</v>
      </c>
      <c r="W66" s="380">
        <v>34840</v>
      </c>
      <c r="X66" s="380">
        <v>19487.93</v>
      </c>
      <c r="Y66" s="380">
        <v>34840</v>
      </c>
      <c r="Z66" s="380">
        <v>19317.22</v>
      </c>
      <c r="AA66" s="376" t="s">
        <v>418</v>
      </c>
      <c r="AB66" s="376" t="s">
        <v>419</v>
      </c>
      <c r="AC66" s="376" t="s">
        <v>420</v>
      </c>
      <c r="AD66" s="376" t="s">
        <v>421</v>
      </c>
      <c r="AE66" s="376" t="s">
        <v>413</v>
      </c>
      <c r="AF66" s="376" t="s">
        <v>250</v>
      </c>
      <c r="AG66" s="376" t="s">
        <v>178</v>
      </c>
      <c r="AH66" s="381">
        <v>16.75</v>
      </c>
      <c r="AI66" s="381">
        <v>2028.4</v>
      </c>
      <c r="AJ66" s="376" t="s">
        <v>179</v>
      </c>
      <c r="AK66" s="376" t="s">
        <v>180</v>
      </c>
      <c r="AL66" s="376" t="s">
        <v>181</v>
      </c>
      <c r="AM66" s="376" t="s">
        <v>182</v>
      </c>
      <c r="AN66" s="376" t="s">
        <v>68</v>
      </c>
      <c r="AO66" s="379">
        <v>80</v>
      </c>
      <c r="AP66" s="385">
        <v>1</v>
      </c>
      <c r="AQ66" s="385">
        <v>1</v>
      </c>
      <c r="AR66" s="383" t="s">
        <v>183</v>
      </c>
      <c r="AS66" s="387">
        <f t="shared" si="27"/>
        <v>1</v>
      </c>
      <c r="AT66">
        <f t="shared" si="28"/>
        <v>1</v>
      </c>
      <c r="AU66" s="387">
        <f>IF(AT66=0,"",IF(AND(AT66=1,M66="F",SUMIF(C2:C206,C66,AS2:AS206)&lt;=1),SUMIF(C2:C206,C66,AS2:AS206),IF(AND(AT66=1,M66="F",SUMIF(C2:C206,C66,AS2:AS206)&gt;1),1,"")))</f>
        <v>1</v>
      </c>
      <c r="AV66" s="387" t="str">
        <f>IF(AT66=0,"",IF(AND(AT66=3,M66="F",SUMIF(C2:C206,C66,AS2:AS206)&lt;=1),SUMIF(C2:C206,C66,AS2:AS206),IF(AND(AT66=3,M66="F",SUMIF(C2:C206,C66,AS2:AS206)&gt;1),1,"")))</f>
        <v/>
      </c>
      <c r="AW66" s="387">
        <f>SUMIF(C2:C206,C66,O2:O206)</f>
        <v>1</v>
      </c>
      <c r="AX66" s="387">
        <f>IF(AND(M66="F",AS66&lt;&gt;0),SUMIF(C2:C206,C66,W2:W206),0)</f>
        <v>34840</v>
      </c>
      <c r="AY66" s="387">
        <f t="shared" si="29"/>
        <v>34840</v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11650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2160.08</v>
      </c>
      <c r="BE66" s="387">
        <f t="shared" ref="BE66:BE129" si="47">IF(AT66&lt;&gt;0,SSHI*W66,0)</f>
        <v>505.18</v>
      </c>
      <c r="BF66" s="387">
        <f t="shared" ref="BF66:BF129" si="48">IF(AND(AT66&lt;&gt;0,AN66&lt;&gt;"NE"),VLOOKUP(AN66,Retirement_Rates,3,FALSE)*W66,0)</f>
        <v>4159.8960000000006</v>
      </c>
      <c r="BG66" s="387">
        <f t="shared" ref="BG66:BG129" si="49">IF(AND(AT66&lt;&gt;0,AJ66&lt;&gt;"PF"),Life*W66,0)</f>
        <v>251.19640000000001</v>
      </c>
      <c r="BH66" s="387">
        <f t="shared" ref="BH66:BH129" si="50">IF(AND(AT66&lt;&gt;0,AM66="Y"),UI*W66,0)</f>
        <v>170.71600000000001</v>
      </c>
      <c r="BI66" s="387">
        <f t="shared" ref="BI66:BI129" si="51">IF(AND(AT66&lt;&gt;0,N66&lt;&gt;"NR"),DHR*W66,0)</f>
        <v>106.6104</v>
      </c>
      <c r="BJ66" s="387">
        <f t="shared" ref="BJ66:BJ129" si="52">IF(AT66&lt;&gt;0,WC*W66,0)</f>
        <v>484.27599999999995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7837.9548000000004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11650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2160.08</v>
      </c>
      <c r="BQ66" s="387">
        <f t="shared" ref="BQ66:BQ129" si="57">IF(AT66&lt;&gt;0,SSHIBY*W66,0)</f>
        <v>505.18</v>
      </c>
      <c r="BR66" s="387">
        <f t="shared" ref="BR66:BR129" si="58">IF(AND(AT66&lt;&gt;0,AN66&lt;&gt;"NE"),VLOOKUP(AN66,Retirement_Rates,4,FALSE)*W66,0)</f>
        <v>4159.8960000000006</v>
      </c>
      <c r="BS66" s="387">
        <f t="shared" ref="BS66:BS129" si="59">IF(AND(AT66&lt;&gt;0,AJ66&lt;&gt;"PF"),LifeBY*W66,0)</f>
        <v>251.19640000000001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106.6104</v>
      </c>
      <c r="BV66" s="387">
        <f t="shared" ref="BV66:BV129" si="62">IF(AT66&lt;&gt;0,WCBY*W66,0)</f>
        <v>484.27599999999995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7667.2388000000001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0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-170.71600000000001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0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-170.71600000000001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0450-26</v>
      </c>
    </row>
    <row r="67" spans="1:92" ht="15.75" thickBot="1" x14ac:dyDescent="0.3">
      <c r="A67" s="376" t="s">
        <v>161</v>
      </c>
      <c r="B67" s="376" t="s">
        <v>162</v>
      </c>
      <c r="C67" s="376" t="s">
        <v>422</v>
      </c>
      <c r="D67" s="376" t="s">
        <v>412</v>
      </c>
      <c r="E67" s="376" t="s">
        <v>251</v>
      </c>
      <c r="F67" s="382" t="s">
        <v>407</v>
      </c>
      <c r="G67" s="376" t="s">
        <v>267</v>
      </c>
      <c r="H67" s="378"/>
      <c r="I67" s="378"/>
      <c r="J67" s="376" t="s">
        <v>186</v>
      </c>
      <c r="K67" s="376" t="s">
        <v>413</v>
      </c>
      <c r="L67" s="376" t="s">
        <v>178</v>
      </c>
      <c r="M67" s="376" t="s">
        <v>171</v>
      </c>
      <c r="N67" s="376" t="s">
        <v>172</v>
      </c>
      <c r="O67" s="379">
        <v>1</v>
      </c>
      <c r="P67" s="385">
        <v>1</v>
      </c>
      <c r="Q67" s="385">
        <v>1</v>
      </c>
      <c r="R67" s="380">
        <v>80</v>
      </c>
      <c r="S67" s="385">
        <v>1</v>
      </c>
      <c r="T67" s="380">
        <v>3840</v>
      </c>
      <c r="U67" s="380">
        <v>0</v>
      </c>
      <c r="V67" s="380">
        <v>1882.52</v>
      </c>
      <c r="W67" s="380">
        <v>35360</v>
      </c>
      <c r="X67" s="380">
        <v>19604.919999999998</v>
      </c>
      <c r="Y67" s="380">
        <v>35360</v>
      </c>
      <c r="Z67" s="380">
        <v>19431.66</v>
      </c>
      <c r="AA67" s="376" t="s">
        <v>423</v>
      </c>
      <c r="AB67" s="376" t="s">
        <v>424</v>
      </c>
      <c r="AC67" s="376" t="s">
        <v>188</v>
      </c>
      <c r="AD67" s="376" t="s">
        <v>425</v>
      </c>
      <c r="AE67" s="376" t="s">
        <v>413</v>
      </c>
      <c r="AF67" s="376" t="s">
        <v>250</v>
      </c>
      <c r="AG67" s="376" t="s">
        <v>178</v>
      </c>
      <c r="AH67" s="379">
        <v>17</v>
      </c>
      <c r="AI67" s="381">
        <v>11716.2</v>
      </c>
      <c r="AJ67" s="376" t="s">
        <v>179</v>
      </c>
      <c r="AK67" s="376" t="s">
        <v>180</v>
      </c>
      <c r="AL67" s="376" t="s">
        <v>181</v>
      </c>
      <c r="AM67" s="376" t="s">
        <v>182</v>
      </c>
      <c r="AN67" s="376" t="s">
        <v>68</v>
      </c>
      <c r="AO67" s="379">
        <v>80</v>
      </c>
      <c r="AP67" s="385">
        <v>1</v>
      </c>
      <c r="AQ67" s="385">
        <v>1</v>
      </c>
      <c r="AR67" s="383" t="s">
        <v>183</v>
      </c>
      <c r="AS67" s="387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IF(AT67=0,"",IF(AND(AT67=1,M67="F",SUMIF(C2:C206,C67,AS2:AS206)&lt;=1),SUMIF(C2:C206,C67,AS2:AS206),IF(AND(AT67=1,M67="F",SUMIF(C2:C206,C67,AS2:AS206)&gt;1),1,"")))</f>
        <v>1</v>
      </c>
      <c r="AV67" s="387" t="str">
        <f>IF(AT67=0,"",IF(AND(AT67=3,M67="F",SUMIF(C2:C206,C67,AS2:AS206)&lt;=1),SUMIF(C2:C206,C67,AS2:AS206),IF(AND(AT67=3,M67="F",SUMIF(C2:C206,C67,AS2:AS206)&gt;1),1,"")))</f>
        <v/>
      </c>
      <c r="AW67" s="387">
        <f>SUMIF(C2:C206,C67,O2:O206)</f>
        <v>1</v>
      </c>
      <c r="AX67" s="387">
        <f>IF(AND(M67="F",AS67&lt;&gt;0),SUMIF(C2:C206,C67,W2:W206),0)</f>
        <v>35360</v>
      </c>
      <c r="AY67" s="387">
        <f t="shared" ref="AY67:AY130" si="73">IF(AT67=1,W67,"")</f>
        <v>35360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11650</v>
      </c>
      <c r="BC67" s="387">
        <f t="shared" si="45"/>
        <v>0</v>
      </c>
      <c r="BD67" s="387">
        <f t="shared" si="46"/>
        <v>2192.3200000000002</v>
      </c>
      <c r="BE67" s="387">
        <f t="shared" si="47"/>
        <v>512.72</v>
      </c>
      <c r="BF67" s="387">
        <f t="shared" si="48"/>
        <v>4221.9840000000004</v>
      </c>
      <c r="BG67" s="387">
        <f t="shared" si="49"/>
        <v>254.94560000000001</v>
      </c>
      <c r="BH67" s="387">
        <f t="shared" si="50"/>
        <v>173.26399999999998</v>
      </c>
      <c r="BI67" s="387">
        <f t="shared" si="51"/>
        <v>108.2016</v>
      </c>
      <c r="BJ67" s="387">
        <f t="shared" si="52"/>
        <v>491.50399999999996</v>
      </c>
      <c r="BK67" s="387">
        <f t="shared" si="53"/>
        <v>0</v>
      </c>
      <c r="BL67" s="387">
        <f t="shared" ref="BL67:BL130" si="76">IF(AT67=1,SUM(BD67:BK67),0)</f>
        <v>7954.9392000000007</v>
      </c>
      <c r="BM67" s="387">
        <f t="shared" ref="BM67:BM130" si="77">IF(AT67=3,SUM(BD67:BK67),0)</f>
        <v>0</v>
      </c>
      <c r="BN67" s="387">
        <f t="shared" si="54"/>
        <v>11650</v>
      </c>
      <c r="BO67" s="387">
        <f t="shared" si="55"/>
        <v>0</v>
      </c>
      <c r="BP67" s="387">
        <f t="shared" si="56"/>
        <v>2192.3200000000002</v>
      </c>
      <c r="BQ67" s="387">
        <f t="shared" si="57"/>
        <v>512.72</v>
      </c>
      <c r="BR67" s="387">
        <f t="shared" si="58"/>
        <v>4221.9840000000004</v>
      </c>
      <c r="BS67" s="387">
        <f t="shared" si="59"/>
        <v>254.94560000000001</v>
      </c>
      <c r="BT67" s="387">
        <f t="shared" si="60"/>
        <v>0</v>
      </c>
      <c r="BU67" s="387">
        <f t="shared" si="61"/>
        <v>108.2016</v>
      </c>
      <c r="BV67" s="387">
        <f t="shared" si="62"/>
        <v>491.50399999999996</v>
      </c>
      <c r="BW67" s="387">
        <f t="shared" si="63"/>
        <v>0</v>
      </c>
      <c r="BX67" s="387">
        <f t="shared" ref="BX67:BX130" si="78">IF(AT67=1,SUM(BP67:BW67),0)</f>
        <v>7781.6752000000006</v>
      </c>
      <c r="BY67" s="387">
        <f t="shared" ref="BY67:BY130" si="79">IF(AT67=3,SUM(BP67:BW67),0)</f>
        <v>0</v>
      </c>
      <c r="BZ67" s="387">
        <f t="shared" ref="BZ67:BZ130" si="80">IF(AT67=1,BN67-BB67,0)</f>
        <v>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0</v>
      </c>
      <c r="CE67" s="387">
        <f t="shared" si="66"/>
        <v>0</v>
      </c>
      <c r="CF67" s="387">
        <f t="shared" si="67"/>
        <v>-173.26399999999998</v>
      </c>
      <c r="CG67" s="387">
        <f t="shared" si="68"/>
        <v>0</v>
      </c>
      <c r="CH67" s="387">
        <f t="shared" si="69"/>
        <v>0</v>
      </c>
      <c r="CI67" s="387">
        <f t="shared" si="70"/>
        <v>0</v>
      </c>
      <c r="CJ67" s="387">
        <f t="shared" ref="CJ67:CJ130" si="83">IF(AT67=1,SUM(CB67:CI67),0)</f>
        <v>-173.26399999999998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0450-26</v>
      </c>
    </row>
    <row r="68" spans="1:92" ht="15.75" thickBot="1" x14ac:dyDescent="0.3">
      <c r="A68" s="376" t="s">
        <v>161</v>
      </c>
      <c r="B68" s="376" t="s">
        <v>162</v>
      </c>
      <c r="C68" s="376" t="s">
        <v>426</v>
      </c>
      <c r="D68" s="376" t="s">
        <v>412</v>
      </c>
      <c r="E68" s="376" t="s">
        <v>251</v>
      </c>
      <c r="F68" s="382" t="s">
        <v>407</v>
      </c>
      <c r="G68" s="376" t="s">
        <v>267</v>
      </c>
      <c r="H68" s="378"/>
      <c r="I68" s="378"/>
      <c r="J68" s="376" t="s">
        <v>186</v>
      </c>
      <c r="K68" s="376" t="s">
        <v>413</v>
      </c>
      <c r="L68" s="376" t="s">
        <v>178</v>
      </c>
      <c r="M68" s="376" t="s">
        <v>171</v>
      </c>
      <c r="N68" s="376" t="s">
        <v>172</v>
      </c>
      <c r="O68" s="379">
        <v>1</v>
      </c>
      <c r="P68" s="385">
        <v>1</v>
      </c>
      <c r="Q68" s="385">
        <v>1</v>
      </c>
      <c r="R68" s="380">
        <v>80</v>
      </c>
      <c r="S68" s="385">
        <v>1</v>
      </c>
      <c r="T68" s="380">
        <v>34603.4</v>
      </c>
      <c r="U68" s="380">
        <v>0</v>
      </c>
      <c r="V68" s="380">
        <v>20082.75</v>
      </c>
      <c r="W68" s="380">
        <v>37668.800000000003</v>
      </c>
      <c r="X68" s="380">
        <v>20124.310000000001</v>
      </c>
      <c r="Y68" s="380">
        <v>37668.800000000003</v>
      </c>
      <c r="Z68" s="380">
        <v>19939.740000000002</v>
      </c>
      <c r="AA68" s="376" t="s">
        <v>427</v>
      </c>
      <c r="AB68" s="376" t="s">
        <v>428</v>
      </c>
      <c r="AC68" s="376" t="s">
        <v>429</v>
      </c>
      <c r="AD68" s="376" t="s">
        <v>425</v>
      </c>
      <c r="AE68" s="376" t="s">
        <v>413</v>
      </c>
      <c r="AF68" s="376" t="s">
        <v>250</v>
      </c>
      <c r="AG68" s="376" t="s">
        <v>178</v>
      </c>
      <c r="AH68" s="381">
        <v>18.11</v>
      </c>
      <c r="AI68" s="381">
        <v>11265.1</v>
      </c>
      <c r="AJ68" s="376" t="s">
        <v>179</v>
      </c>
      <c r="AK68" s="376" t="s">
        <v>180</v>
      </c>
      <c r="AL68" s="376" t="s">
        <v>181</v>
      </c>
      <c r="AM68" s="376" t="s">
        <v>182</v>
      </c>
      <c r="AN68" s="376" t="s">
        <v>68</v>
      </c>
      <c r="AO68" s="379">
        <v>80</v>
      </c>
      <c r="AP68" s="385">
        <v>1</v>
      </c>
      <c r="AQ68" s="385">
        <v>1</v>
      </c>
      <c r="AR68" s="383" t="s">
        <v>183</v>
      </c>
      <c r="AS68" s="387">
        <f t="shared" si="71"/>
        <v>1</v>
      </c>
      <c r="AT68">
        <f t="shared" si="72"/>
        <v>1</v>
      </c>
      <c r="AU68" s="387">
        <f>IF(AT68=0,"",IF(AND(AT68=1,M68="F",SUMIF(C2:C206,C68,AS2:AS206)&lt;=1),SUMIF(C2:C206,C68,AS2:AS206),IF(AND(AT68=1,M68="F",SUMIF(C2:C206,C68,AS2:AS206)&gt;1),1,"")))</f>
        <v>1</v>
      </c>
      <c r="AV68" s="387" t="str">
        <f>IF(AT68=0,"",IF(AND(AT68=3,M68="F",SUMIF(C2:C206,C68,AS2:AS206)&lt;=1),SUMIF(C2:C206,C68,AS2:AS206),IF(AND(AT68=3,M68="F",SUMIF(C2:C206,C68,AS2:AS206)&gt;1),1,"")))</f>
        <v/>
      </c>
      <c r="AW68" s="387">
        <f>SUMIF(C2:C206,C68,O2:O206)</f>
        <v>1</v>
      </c>
      <c r="AX68" s="387">
        <f>IF(AND(M68="F",AS68&lt;&gt;0),SUMIF(C2:C206,C68,W2:W206),0)</f>
        <v>37668.800000000003</v>
      </c>
      <c r="AY68" s="387">
        <f t="shared" si="73"/>
        <v>37668.800000000003</v>
      </c>
      <c r="AZ68" s="387" t="str">
        <f t="shared" si="74"/>
        <v/>
      </c>
      <c r="BA68" s="387">
        <f t="shared" si="75"/>
        <v>0</v>
      </c>
      <c r="BB68" s="387">
        <f t="shared" si="44"/>
        <v>11650</v>
      </c>
      <c r="BC68" s="387">
        <f t="shared" si="45"/>
        <v>0</v>
      </c>
      <c r="BD68" s="387">
        <f t="shared" si="46"/>
        <v>2335.4656</v>
      </c>
      <c r="BE68" s="387">
        <f t="shared" si="47"/>
        <v>546.19760000000008</v>
      </c>
      <c r="BF68" s="387">
        <f t="shared" si="48"/>
        <v>4497.6547200000005</v>
      </c>
      <c r="BG68" s="387">
        <f t="shared" si="49"/>
        <v>271.59204800000003</v>
      </c>
      <c r="BH68" s="387">
        <f t="shared" si="50"/>
        <v>184.57712000000001</v>
      </c>
      <c r="BI68" s="387">
        <f t="shared" si="51"/>
        <v>115.26652799999999</v>
      </c>
      <c r="BJ68" s="387">
        <f t="shared" si="52"/>
        <v>523.59631999999999</v>
      </c>
      <c r="BK68" s="387">
        <f t="shared" si="53"/>
        <v>0</v>
      </c>
      <c r="BL68" s="387">
        <f t="shared" si="76"/>
        <v>8474.3499360000005</v>
      </c>
      <c r="BM68" s="387">
        <f t="shared" si="77"/>
        <v>0</v>
      </c>
      <c r="BN68" s="387">
        <f t="shared" si="54"/>
        <v>11650</v>
      </c>
      <c r="BO68" s="387">
        <f t="shared" si="55"/>
        <v>0</v>
      </c>
      <c r="BP68" s="387">
        <f t="shared" si="56"/>
        <v>2335.4656</v>
      </c>
      <c r="BQ68" s="387">
        <f t="shared" si="57"/>
        <v>546.19760000000008</v>
      </c>
      <c r="BR68" s="387">
        <f t="shared" si="58"/>
        <v>4497.6547200000005</v>
      </c>
      <c r="BS68" s="387">
        <f t="shared" si="59"/>
        <v>271.59204800000003</v>
      </c>
      <c r="BT68" s="387">
        <f t="shared" si="60"/>
        <v>0</v>
      </c>
      <c r="BU68" s="387">
        <f t="shared" si="61"/>
        <v>115.26652799999999</v>
      </c>
      <c r="BV68" s="387">
        <f t="shared" si="62"/>
        <v>523.59631999999999</v>
      </c>
      <c r="BW68" s="387">
        <f t="shared" si="63"/>
        <v>0</v>
      </c>
      <c r="BX68" s="387">
        <f t="shared" si="78"/>
        <v>8289.7728160000006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-184.57712000000001</v>
      </c>
      <c r="CG68" s="387">
        <f t="shared" si="68"/>
        <v>0</v>
      </c>
      <c r="CH68" s="387">
        <f t="shared" si="69"/>
        <v>0</v>
      </c>
      <c r="CI68" s="387">
        <f t="shared" si="70"/>
        <v>0</v>
      </c>
      <c r="CJ68" s="387">
        <f t="shared" si="83"/>
        <v>-184.57712000000001</v>
      </c>
      <c r="CK68" s="387" t="str">
        <f t="shared" si="84"/>
        <v/>
      </c>
      <c r="CL68" s="387" t="str">
        <f t="shared" si="85"/>
        <v/>
      </c>
      <c r="CM68" s="387" t="str">
        <f t="shared" si="86"/>
        <v/>
      </c>
      <c r="CN68" s="387" t="str">
        <f t="shared" si="87"/>
        <v>0450-26</v>
      </c>
    </row>
    <row r="69" spans="1:92" ht="15.75" thickBot="1" x14ac:dyDescent="0.3">
      <c r="A69" s="376" t="s">
        <v>161</v>
      </c>
      <c r="B69" s="376" t="s">
        <v>162</v>
      </c>
      <c r="C69" s="376" t="s">
        <v>430</v>
      </c>
      <c r="D69" s="376" t="s">
        <v>412</v>
      </c>
      <c r="E69" s="376" t="s">
        <v>251</v>
      </c>
      <c r="F69" s="382" t="s">
        <v>407</v>
      </c>
      <c r="G69" s="376" t="s">
        <v>267</v>
      </c>
      <c r="H69" s="378"/>
      <c r="I69" s="378"/>
      <c r="J69" s="376" t="s">
        <v>186</v>
      </c>
      <c r="K69" s="376" t="s">
        <v>413</v>
      </c>
      <c r="L69" s="376" t="s">
        <v>178</v>
      </c>
      <c r="M69" s="376" t="s">
        <v>171</v>
      </c>
      <c r="N69" s="376" t="s">
        <v>172</v>
      </c>
      <c r="O69" s="379">
        <v>1</v>
      </c>
      <c r="P69" s="385">
        <v>1</v>
      </c>
      <c r="Q69" s="385">
        <v>1</v>
      </c>
      <c r="R69" s="380">
        <v>80</v>
      </c>
      <c r="S69" s="385">
        <v>1</v>
      </c>
      <c r="T69" s="380">
        <v>37196.639999999999</v>
      </c>
      <c r="U69" s="380">
        <v>0</v>
      </c>
      <c r="V69" s="380">
        <v>20490.740000000002</v>
      </c>
      <c r="W69" s="380">
        <v>40310.400000000001</v>
      </c>
      <c r="X69" s="380">
        <v>20718.599999999999</v>
      </c>
      <c r="Y69" s="380">
        <v>40310.400000000001</v>
      </c>
      <c r="Z69" s="380">
        <v>20521.080000000002</v>
      </c>
      <c r="AA69" s="376" t="s">
        <v>431</v>
      </c>
      <c r="AB69" s="376" t="s">
        <v>432</v>
      </c>
      <c r="AC69" s="376" t="s">
        <v>433</v>
      </c>
      <c r="AD69" s="376" t="s">
        <v>434</v>
      </c>
      <c r="AE69" s="376" t="s">
        <v>413</v>
      </c>
      <c r="AF69" s="376" t="s">
        <v>250</v>
      </c>
      <c r="AG69" s="376" t="s">
        <v>178</v>
      </c>
      <c r="AH69" s="381">
        <v>19.38</v>
      </c>
      <c r="AI69" s="381">
        <v>16174.3</v>
      </c>
      <c r="AJ69" s="376" t="s">
        <v>179</v>
      </c>
      <c r="AK69" s="376" t="s">
        <v>180</v>
      </c>
      <c r="AL69" s="376" t="s">
        <v>181</v>
      </c>
      <c r="AM69" s="376" t="s">
        <v>182</v>
      </c>
      <c r="AN69" s="376" t="s">
        <v>68</v>
      </c>
      <c r="AO69" s="379">
        <v>80</v>
      </c>
      <c r="AP69" s="385">
        <v>1</v>
      </c>
      <c r="AQ69" s="385">
        <v>1</v>
      </c>
      <c r="AR69" s="383" t="s">
        <v>183</v>
      </c>
      <c r="AS69" s="387">
        <f t="shared" si="71"/>
        <v>1</v>
      </c>
      <c r="AT69">
        <f t="shared" si="72"/>
        <v>1</v>
      </c>
      <c r="AU69" s="387">
        <f>IF(AT69=0,"",IF(AND(AT69=1,M69="F",SUMIF(C2:C206,C69,AS2:AS206)&lt;=1),SUMIF(C2:C206,C69,AS2:AS206),IF(AND(AT69=1,M69="F",SUMIF(C2:C206,C69,AS2:AS206)&gt;1),1,"")))</f>
        <v>1</v>
      </c>
      <c r="AV69" s="387" t="str">
        <f>IF(AT69=0,"",IF(AND(AT69=3,M69="F",SUMIF(C2:C206,C69,AS2:AS206)&lt;=1),SUMIF(C2:C206,C69,AS2:AS206),IF(AND(AT69=3,M69="F",SUMIF(C2:C206,C69,AS2:AS206)&gt;1),1,"")))</f>
        <v/>
      </c>
      <c r="AW69" s="387">
        <f>SUMIF(C2:C206,C69,O2:O206)</f>
        <v>1</v>
      </c>
      <c r="AX69" s="387">
        <f>IF(AND(M69="F",AS69&lt;&gt;0),SUMIF(C2:C206,C69,W2:W206),0)</f>
        <v>40310.400000000001</v>
      </c>
      <c r="AY69" s="387">
        <f t="shared" si="73"/>
        <v>40310.400000000001</v>
      </c>
      <c r="AZ69" s="387" t="str">
        <f t="shared" si="74"/>
        <v/>
      </c>
      <c r="BA69" s="387">
        <f t="shared" si="75"/>
        <v>0</v>
      </c>
      <c r="BB69" s="387">
        <f t="shared" si="44"/>
        <v>11650</v>
      </c>
      <c r="BC69" s="387">
        <f t="shared" si="45"/>
        <v>0</v>
      </c>
      <c r="BD69" s="387">
        <f t="shared" si="46"/>
        <v>2499.2447999999999</v>
      </c>
      <c r="BE69" s="387">
        <f t="shared" si="47"/>
        <v>584.50080000000003</v>
      </c>
      <c r="BF69" s="387">
        <f t="shared" si="48"/>
        <v>4813.0617600000005</v>
      </c>
      <c r="BG69" s="387">
        <f t="shared" si="49"/>
        <v>290.63798400000002</v>
      </c>
      <c r="BH69" s="387">
        <f t="shared" si="50"/>
        <v>197.52096</v>
      </c>
      <c r="BI69" s="387">
        <f t="shared" si="51"/>
        <v>123.349824</v>
      </c>
      <c r="BJ69" s="387">
        <f t="shared" si="52"/>
        <v>560.31456000000003</v>
      </c>
      <c r="BK69" s="387">
        <f t="shared" si="53"/>
        <v>0</v>
      </c>
      <c r="BL69" s="387">
        <f t="shared" si="76"/>
        <v>9068.6306880000029</v>
      </c>
      <c r="BM69" s="387">
        <f t="shared" si="77"/>
        <v>0</v>
      </c>
      <c r="BN69" s="387">
        <f t="shared" si="54"/>
        <v>11650</v>
      </c>
      <c r="BO69" s="387">
        <f t="shared" si="55"/>
        <v>0</v>
      </c>
      <c r="BP69" s="387">
        <f t="shared" si="56"/>
        <v>2499.2447999999999</v>
      </c>
      <c r="BQ69" s="387">
        <f t="shared" si="57"/>
        <v>584.50080000000003</v>
      </c>
      <c r="BR69" s="387">
        <f t="shared" si="58"/>
        <v>4813.0617600000005</v>
      </c>
      <c r="BS69" s="387">
        <f t="shared" si="59"/>
        <v>290.63798400000002</v>
      </c>
      <c r="BT69" s="387">
        <f t="shared" si="60"/>
        <v>0</v>
      </c>
      <c r="BU69" s="387">
        <f t="shared" si="61"/>
        <v>123.349824</v>
      </c>
      <c r="BV69" s="387">
        <f t="shared" si="62"/>
        <v>560.31456000000003</v>
      </c>
      <c r="BW69" s="387">
        <f t="shared" si="63"/>
        <v>0</v>
      </c>
      <c r="BX69" s="387">
        <f t="shared" si="78"/>
        <v>8871.1097280000013</v>
      </c>
      <c r="BY69" s="387">
        <f t="shared" si="79"/>
        <v>0</v>
      </c>
      <c r="BZ69" s="387">
        <f t="shared" si="80"/>
        <v>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0</v>
      </c>
      <c r="CE69" s="387">
        <f t="shared" si="66"/>
        <v>0</v>
      </c>
      <c r="CF69" s="387">
        <f t="shared" si="67"/>
        <v>-197.52096</v>
      </c>
      <c r="CG69" s="387">
        <f t="shared" si="68"/>
        <v>0</v>
      </c>
      <c r="CH69" s="387">
        <f t="shared" si="69"/>
        <v>0</v>
      </c>
      <c r="CI69" s="387">
        <f t="shared" si="70"/>
        <v>0</v>
      </c>
      <c r="CJ69" s="387">
        <f t="shared" si="83"/>
        <v>-197.52096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0450-26</v>
      </c>
    </row>
    <row r="70" spans="1:92" ht="15.75" thickBot="1" x14ac:dyDescent="0.3">
      <c r="A70" s="376" t="s">
        <v>161</v>
      </c>
      <c r="B70" s="376" t="s">
        <v>162</v>
      </c>
      <c r="C70" s="376" t="s">
        <v>435</v>
      </c>
      <c r="D70" s="376" t="s">
        <v>412</v>
      </c>
      <c r="E70" s="376" t="s">
        <v>251</v>
      </c>
      <c r="F70" s="382" t="s">
        <v>407</v>
      </c>
      <c r="G70" s="376" t="s">
        <v>267</v>
      </c>
      <c r="H70" s="378"/>
      <c r="I70" s="378"/>
      <c r="J70" s="376" t="s">
        <v>186</v>
      </c>
      <c r="K70" s="376" t="s">
        <v>413</v>
      </c>
      <c r="L70" s="376" t="s">
        <v>178</v>
      </c>
      <c r="M70" s="376" t="s">
        <v>171</v>
      </c>
      <c r="N70" s="376" t="s">
        <v>172</v>
      </c>
      <c r="O70" s="379">
        <v>1</v>
      </c>
      <c r="P70" s="385">
        <v>1</v>
      </c>
      <c r="Q70" s="385">
        <v>1</v>
      </c>
      <c r="R70" s="380">
        <v>80</v>
      </c>
      <c r="S70" s="385">
        <v>1</v>
      </c>
      <c r="T70" s="380">
        <v>34039.07</v>
      </c>
      <c r="U70" s="380">
        <v>0</v>
      </c>
      <c r="V70" s="380">
        <v>19838.78</v>
      </c>
      <c r="W70" s="380">
        <v>37024</v>
      </c>
      <c r="X70" s="380">
        <v>19979.25</v>
      </c>
      <c r="Y70" s="380">
        <v>37024</v>
      </c>
      <c r="Z70" s="380">
        <v>19797.84</v>
      </c>
      <c r="AA70" s="376" t="s">
        <v>436</v>
      </c>
      <c r="AB70" s="376" t="s">
        <v>437</v>
      </c>
      <c r="AC70" s="376" t="s">
        <v>214</v>
      </c>
      <c r="AD70" s="376" t="s">
        <v>287</v>
      </c>
      <c r="AE70" s="376" t="s">
        <v>413</v>
      </c>
      <c r="AF70" s="376" t="s">
        <v>250</v>
      </c>
      <c r="AG70" s="376" t="s">
        <v>178</v>
      </c>
      <c r="AH70" s="381">
        <v>17.8</v>
      </c>
      <c r="AI70" s="381">
        <v>6005.5</v>
      </c>
      <c r="AJ70" s="376" t="s">
        <v>179</v>
      </c>
      <c r="AK70" s="376" t="s">
        <v>180</v>
      </c>
      <c r="AL70" s="376" t="s">
        <v>181</v>
      </c>
      <c r="AM70" s="376" t="s">
        <v>182</v>
      </c>
      <c r="AN70" s="376" t="s">
        <v>68</v>
      </c>
      <c r="AO70" s="379">
        <v>80</v>
      </c>
      <c r="AP70" s="385">
        <v>1</v>
      </c>
      <c r="AQ70" s="385">
        <v>1</v>
      </c>
      <c r="AR70" s="383" t="s">
        <v>183</v>
      </c>
      <c r="AS70" s="387">
        <f t="shared" si="71"/>
        <v>1</v>
      </c>
      <c r="AT70">
        <f t="shared" si="72"/>
        <v>1</v>
      </c>
      <c r="AU70" s="387">
        <f>IF(AT70=0,"",IF(AND(AT70=1,M70="F",SUMIF(C2:C206,C70,AS2:AS206)&lt;=1),SUMIF(C2:C206,C70,AS2:AS206),IF(AND(AT70=1,M70="F",SUMIF(C2:C206,C70,AS2:AS206)&gt;1),1,"")))</f>
        <v>1</v>
      </c>
      <c r="AV70" s="387" t="str">
        <f>IF(AT70=0,"",IF(AND(AT70=3,M70="F",SUMIF(C2:C206,C70,AS2:AS206)&lt;=1),SUMIF(C2:C206,C70,AS2:AS206),IF(AND(AT70=3,M70="F",SUMIF(C2:C206,C70,AS2:AS206)&gt;1),1,"")))</f>
        <v/>
      </c>
      <c r="AW70" s="387">
        <f>SUMIF(C2:C206,C70,O2:O206)</f>
        <v>1</v>
      </c>
      <c r="AX70" s="387">
        <f>IF(AND(M70="F",AS70&lt;&gt;0),SUMIF(C2:C206,C70,W2:W206),0)</f>
        <v>37024</v>
      </c>
      <c r="AY70" s="387">
        <f t="shared" si="73"/>
        <v>37024</v>
      </c>
      <c r="AZ70" s="387" t="str">
        <f t="shared" si="74"/>
        <v/>
      </c>
      <c r="BA70" s="387">
        <f t="shared" si="75"/>
        <v>0</v>
      </c>
      <c r="BB70" s="387">
        <f t="shared" si="44"/>
        <v>11650</v>
      </c>
      <c r="BC70" s="387">
        <f t="shared" si="45"/>
        <v>0</v>
      </c>
      <c r="BD70" s="387">
        <f t="shared" si="46"/>
        <v>2295.4879999999998</v>
      </c>
      <c r="BE70" s="387">
        <f t="shared" si="47"/>
        <v>536.84800000000007</v>
      </c>
      <c r="BF70" s="387">
        <f t="shared" si="48"/>
        <v>4420.6656000000003</v>
      </c>
      <c r="BG70" s="387">
        <f t="shared" si="49"/>
        <v>266.94304</v>
      </c>
      <c r="BH70" s="387">
        <f t="shared" si="50"/>
        <v>181.41759999999999</v>
      </c>
      <c r="BI70" s="387">
        <f t="shared" si="51"/>
        <v>113.29343999999999</v>
      </c>
      <c r="BJ70" s="387">
        <f t="shared" si="52"/>
        <v>514.6336</v>
      </c>
      <c r="BK70" s="387">
        <f t="shared" si="53"/>
        <v>0</v>
      </c>
      <c r="BL70" s="387">
        <f t="shared" si="76"/>
        <v>8329.2892799999991</v>
      </c>
      <c r="BM70" s="387">
        <f t="shared" si="77"/>
        <v>0</v>
      </c>
      <c r="BN70" s="387">
        <f t="shared" si="54"/>
        <v>11650</v>
      </c>
      <c r="BO70" s="387">
        <f t="shared" si="55"/>
        <v>0</v>
      </c>
      <c r="BP70" s="387">
        <f t="shared" si="56"/>
        <v>2295.4879999999998</v>
      </c>
      <c r="BQ70" s="387">
        <f t="shared" si="57"/>
        <v>536.84800000000007</v>
      </c>
      <c r="BR70" s="387">
        <f t="shared" si="58"/>
        <v>4420.6656000000003</v>
      </c>
      <c r="BS70" s="387">
        <f t="shared" si="59"/>
        <v>266.94304</v>
      </c>
      <c r="BT70" s="387">
        <f t="shared" si="60"/>
        <v>0</v>
      </c>
      <c r="BU70" s="387">
        <f t="shared" si="61"/>
        <v>113.29343999999999</v>
      </c>
      <c r="BV70" s="387">
        <f t="shared" si="62"/>
        <v>514.6336</v>
      </c>
      <c r="BW70" s="387">
        <f t="shared" si="63"/>
        <v>0</v>
      </c>
      <c r="BX70" s="387">
        <f t="shared" si="78"/>
        <v>8147.8716800000002</v>
      </c>
      <c r="BY70" s="387">
        <f t="shared" si="79"/>
        <v>0</v>
      </c>
      <c r="BZ70" s="387">
        <f t="shared" si="80"/>
        <v>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0</v>
      </c>
      <c r="CE70" s="387">
        <f t="shared" si="66"/>
        <v>0</v>
      </c>
      <c r="CF70" s="387">
        <f t="shared" si="67"/>
        <v>-181.41759999999999</v>
      </c>
      <c r="CG70" s="387">
        <f t="shared" si="68"/>
        <v>0</v>
      </c>
      <c r="CH70" s="387">
        <f t="shared" si="69"/>
        <v>0</v>
      </c>
      <c r="CI70" s="387">
        <f t="shared" si="70"/>
        <v>0</v>
      </c>
      <c r="CJ70" s="387">
        <f t="shared" si="83"/>
        <v>-181.41759999999999</v>
      </c>
      <c r="CK70" s="387" t="str">
        <f t="shared" si="84"/>
        <v/>
      </c>
      <c r="CL70" s="387" t="str">
        <f t="shared" si="85"/>
        <v/>
      </c>
      <c r="CM70" s="387" t="str">
        <f t="shared" si="86"/>
        <v/>
      </c>
      <c r="CN70" s="387" t="str">
        <f t="shared" si="87"/>
        <v>0450-26</v>
      </c>
    </row>
    <row r="71" spans="1:92" ht="15.75" thickBot="1" x14ac:dyDescent="0.3">
      <c r="A71" s="376" t="s">
        <v>161</v>
      </c>
      <c r="B71" s="376" t="s">
        <v>162</v>
      </c>
      <c r="C71" s="376" t="s">
        <v>438</v>
      </c>
      <c r="D71" s="376" t="s">
        <v>439</v>
      </c>
      <c r="E71" s="376" t="s">
        <v>251</v>
      </c>
      <c r="F71" s="382" t="s">
        <v>407</v>
      </c>
      <c r="G71" s="376" t="s">
        <v>267</v>
      </c>
      <c r="H71" s="378"/>
      <c r="I71" s="378"/>
      <c r="J71" s="376" t="s">
        <v>186</v>
      </c>
      <c r="K71" s="376" t="s">
        <v>440</v>
      </c>
      <c r="L71" s="376" t="s">
        <v>441</v>
      </c>
      <c r="M71" s="376" t="s">
        <v>171</v>
      </c>
      <c r="N71" s="376" t="s">
        <v>172</v>
      </c>
      <c r="O71" s="379">
        <v>1</v>
      </c>
      <c r="P71" s="385">
        <v>1</v>
      </c>
      <c r="Q71" s="385">
        <v>1</v>
      </c>
      <c r="R71" s="380">
        <v>80</v>
      </c>
      <c r="S71" s="385">
        <v>1</v>
      </c>
      <c r="T71" s="380">
        <v>40623.199999999997</v>
      </c>
      <c r="U71" s="380">
        <v>0</v>
      </c>
      <c r="V71" s="380">
        <v>20089.939999999999</v>
      </c>
      <c r="W71" s="380">
        <v>42224</v>
      </c>
      <c r="X71" s="380">
        <v>21149.09</v>
      </c>
      <c r="Y71" s="380">
        <v>42224</v>
      </c>
      <c r="Z71" s="380">
        <v>20942.2</v>
      </c>
      <c r="AA71" s="376" t="s">
        <v>442</v>
      </c>
      <c r="AB71" s="376" t="s">
        <v>443</v>
      </c>
      <c r="AC71" s="376" t="s">
        <v>299</v>
      </c>
      <c r="AD71" s="376" t="s">
        <v>444</v>
      </c>
      <c r="AE71" s="376" t="s">
        <v>440</v>
      </c>
      <c r="AF71" s="376" t="s">
        <v>445</v>
      </c>
      <c r="AG71" s="376" t="s">
        <v>178</v>
      </c>
      <c r="AH71" s="381">
        <v>20.3</v>
      </c>
      <c r="AI71" s="379">
        <v>4160</v>
      </c>
      <c r="AJ71" s="376" t="s">
        <v>179</v>
      </c>
      <c r="AK71" s="376" t="s">
        <v>180</v>
      </c>
      <c r="AL71" s="376" t="s">
        <v>181</v>
      </c>
      <c r="AM71" s="376" t="s">
        <v>182</v>
      </c>
      <c r="AN71" s="376" t="s">
        <v>68</v>
      </c>
      <c r="AO71" s="379">
        <v>80</v>
      </c>
      <c r="AP71" s="385">
        <v>1</v>
      </c>
      <c r="AQ71" s="385">
        <v>1</v>
      </c>
      <c r="AR71" s="383" t="s">
        <v>183</v>
      </c>
      <c r="AS71" s="387">
        <f t="shared" si="71"/>
        <v>1</v>
      </c>
      <c r="AT71">
        <f t="shared" si="72"/>
        <v>1</v>
      </c>
      <c r="AU71" s="387">
        <f>IF(AT71=0,"",IF(AND(AT71=1,M71="F",SUMIF(C2:C206,C71,AS2:AS206)&lt;=1),SUMIF(C2:C206,C71,AS2:AS206),IF(AND(AT71=1,M71="F",SUMIF(C2:C206,C71,AS2:AS206)&gt;1),1,"")))</f>
        <v>1</v>
      </c>
      <c r="AV71" s="387" t="str">
        <f>IF(AT71=0,"",IF(AND(AT71=3,M71="F",SUMIF(C2:C206,C71,AS2:AS206)&lt;=1),SUMIF(C2:C206,C71,AS2:AS206),IF(AND(AT71=3,M71="F",SUMIF(C2:C206,C71,AS2:AS206)&gt;1),1,"")))</f>
        <v/>
      </c>
      <c r="AW71" s="387">
        <f>SUMIF(C2:C206,C71,O2:O206)</f>
        <v>1</v>
      </c>
      <c r="AX71" s="387">
        <f>IF(AND(M71="F",AS71&lt;&gt;0),SUMIF(C2:C206,C71,W2:W206),0)</f>
        <v>42224</v>
      </c>
      <c r="AY71" s="387">
        <f t="shared" si="73"/>
        <v>42224</v>
      </c>
      <c r="AZ71" s="387" t="str">
        <f t="shared" si="74"/>
        <v/>
      </c>
      <c r="BA71" s="387">
        <f t="shared" si="75"/>
        <v>0</v>
      </c>
      <c r="BB71" s="387">
        <f t="shared" si="44"/>
        <v>11650</v>
      </c>
      <c r="BC71" s="387">
        <f t="shared" si="45"/>
        <v>0</v>
      </c>
      <c r="BD71" s="387">
        <f t="shared" si="46"/>
        <v>2617.8879999999999</v>
      </c>
      <c r="BE71" s="387">
        <f t="shared" si="47"/>
        <v>612.24800000000005</v>
      </c>
      <c r="BF71" s="387">
        <f t="shared" si="48"/>
        <v>5041.5456000000004</v>
      </c>
      <c r="BG71" s="387">
        <f t="shared" si="49"/>
        <v>304.43504000000001</v>
      </c>
      <c r="BH71" s="387">
        <f t="shared" si="50"/>
        <v>206.89759999999998</v>
      </c>
      <c r="BI71" s="387">
        <f t="shared" si="51"/>
        <v>129.20543999999998</v>
      </c>
      <c r="BJ71" s="387">
        <f t="shared" si="52"/>
        <v>586.91359999999997</v>
      </c>
      <c r="BK71" s="387">
        <f t="shared" si="53"/>
        <v>0</v>
      </c>
      <c r="BL71" s="387">
        <f t="shared" si="76"/>
        <v>9499.13328</v>
      </c>
      <c r="BM71" s="387">
        <f t="shared" si="77"/>
        <v>0</v>
      </c>
      <c r="BN71" s="387">
        <f t="shared" si="54"/>
        <v>11650</v>
      </c>
      <c r="BO71" s="387">
        <f t="shared" si="55"/>
        <v>0</v>
      </c>
      <c r="BP71" s="387">
        <f t="shared" si="56"/>
        <v>2617.8879999999999</v>
      </c>
      <c r="BQ71" s="387">
        <f t="shared" si="57"/>
        <v>612.24800000000005</v>
      </c>
      <c r="BR71" s="387">
        <f t="shared" si="58"/>
        <v>5041.5456000000004</v>
      </c>
      <c r="BS71" s="387">
        <f t="shared" si="59"/>
        <v>304.43504000000001</v>
      </c>
      <c r="BT71" s="387">
        <f t="shared" si="60"/>
        <v>0</v>
      </c>
      <c r="BU71" s="387">
        <f t="shared" si="61"/>
        <v>129.20543999999998</v>
      </c>
      <c r="BV71" s="387">
        <f t="shared" si="62"/>
        <v>586.91359999999997</v>
      </c>
      <c r="BW71" s="387">
        <f t="shared" si="63"/>
        <v>0</v>
      </c>
      <c r="BX71" s="387">
        <f t="shared" si="78"/>
        <v>9292.2356799999998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-206.89759999999998</v>
      </c>
      <c r="CG71" s="387">
        <f t="shared" si="68"/>
        <v>0</v>
      </c>
      <c r="CH71" s="387">
        <f t="shared" si="69"/>
        <v>0</v>
      </c>
      <c r="CI71" s="387">
        <f t="shared" si="70"/>
        <v>0</v>
      </c>
      <c r="CJ71" s="387">
        <f t="shared" si="83"/>
        <v>-206.89759999999998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0450-26</v>
      </c>
    </row>
    <row r="72" spans="1:92" ht="15.75" thickBot="1" x14ac:dyDescent="0.3">
      <c r="A72" s="376" t="s">
        <v>161</v>
      </c>
      <c r="B72" s="376" t="s">
        <v>162</v>
      </c>
      <c r="C72" s="376" t="s">
        <v>446</v>
      </c>
      <c r="D72" s="376" t="s">
        <v>439</v>
      </c>
      <c r="E72" s="376" t="s">
        <v>251</v>
      </c>
      <c r="F72" s="382" t="s">
        <v>407</v>
      </c>
      <c r="G72" s="376" t="s">
        <v>267</v>
      </c>
      <c r="H72" s="378"/>
      <c r="I72" s="378"/>
      <c r="J72" s="376" t="s">
        <v>186</v>
      </c>
      <c r="K72" s="376" t="s">
        <v>440</v>
      </c>
      <c r="L72" s="376" t="s">
        <v>441</v>
      </c>
      <c r="M72" s="376" t="s">
        <v>171</v>
      </c>
      <c r="N72" s="376" t="s">
        <v>172</v>
      </c>
      <c r="O72" s="379">
        <v>1</v>
      </c>
      <c r="P72" s="385">
        <v>1</v>
      </c>
      <c r="Q72" s="385">
        <v>1</v>
      </c>
      <c r="R72" s="380">
        <v>80</v>
      </c>
      <c r="S72" s="385">
        <v>1</v>
      </c>
      <c r="T72" s="380">
        <v>40619</v>
      </c>
      <c r="U72" s="380">
        <v>1.94</v>
      </c>
      <c r="V72" s="380">
        <v>19808.240000000002</v>
      </c>
      <c r="W72" s="380">
        <v>42161.599999999999</v>
      </c>
      <c r="X72" s="380">
        <v>21135.06</v>
      </c>
      <c r="Y72" s="380">
        <v>42161.599999999999</v>
      </c>
      <c r="Z72" s="380">
        <v>20928.47</v>
      </c>
      <c r="AA72" s="376" t="s">
        <v>447</v>
      </c>
      <c r="AB72" s="376" t="s">
        <v>448</v>
      </c>
      <c r="AC72" s="376" t="s">
        <v>449</v>
      </c>
      <c r="AD72" s="376" t="s">
        <v>317</v>
      </c>
      <c r="AE72" s="376" t="s">
        <v>440</v>
      </c>
      <c r="AF72" s="376" t="s">
        <v>445</v>
      </c>
      <c r="AG72" s="376" t="s">
        <v>178</v>
      </c>
      <c r="AH72" s="381">
        <v>20.27</v>
      </c>
      <c r="AI72" s="381">
        <v>7173.7</v>
      </c>
      <c r="AJ72" s="376" t="s">
        <v>179</v>
      </c>
      <c r="AK72" s="376" t="s">
        <v>180</v>
      </c>
      <c r="AL72" s="376" t="s">
        <v>181</v>
      </c>
      <c r="AM72" s="376" t="s">
        <v>182</v>
      </c>
      <c r="AN72" s="376" t="s">
        <v>68</v>
      </c>
      <c r="AO72" s="379">
        <v>80</v>
      </c>
      <c r="AP72" s="385">
        <v>1</v>
      </c>
      <c r="AQ72" s="385">
        <v>1</v>
      </c>
      <c r="AR72" s="383" t="s">
        <v>183</v>
      </c>
      <c r="AS72" s="387">
        <f t="shared" si="71"/>
        <v>1</v>
      </c>
      <c r="AT72">
        <f t="shared" si="72"/>
        <v>1</v>
      </c>
      <c r="AU72" s="387">
        <f>IF(AT72=0,"",IF(AND(AT72=1,M72="F",SUMIF(C2:C206,C72,AS2:AS206)&lt;=1),SUMIF(C2:C206,C72,AS2:AS206),IF(AND(AT72=1,M72="F",SUMIF(C2:C206,C72,AS2:AS206)&gt;1),1,"")))</f>
        <v>1</v>
      </c>
      <c r="AV72" s="387" t="str">
        <f>IF(AT72=0,"",IF(AND(AT72=3,M72="F",SUMIF(C2:C206,C72,AS2:AS206)&lt;=1),SUMIF(C2:C206,C72,AS2:AS206),IF(AND(AT72=3,M72="F",SUMIF(C2:C206,C72,AS2:AS206)&gt;1),1,"")))</f>
        <v/>
      </c>
      <c r="AW72" s="387">
        <f>SUMIF(C2:C206,C72,O2:O206)</f>
        <v>1</v>
      </c>
      <c r="AX72" s="387">
        <f>IF(AND(M72="F",AS72&lt;&gt;0),SUMIF(C2:C206,C72,W2:W206),0)</f>
        <v>42161.599999999999</v>
      </c>
      <c r="AY72" s="387">
        <f t="shared" si="73"/>
        <v>42161.599999999999</v>
      </c>
      <c r="AZ72" s="387" t="str">
        <f t="shared" si="74"/>
        <v/>
      </c>
      <c r="BA72" s="387">
        <f t="shared" si="75"/>
        <v>0</v>
      </c>
      <c r="BB72" s="387">
        <f t="shared" si="44"/>
        <v>11650</v>
      </c>
      <c r="BC72" s="387">
        <f t="shared" si="45"/>
        <v>0</v>
      </c>
      <c r="BD72" s="387">
        <f t="shared" si="46"/>
        <v>2614.0191999999997</v>
      </c>
      <c r="BE72" s="387">
        <f t="shared" si="47"/>
        <v>611.34320000000002</v>
      </c>
      <c r="BF72" s="387">
        <f t="shared" si="48"/>
        <v>5034.0950400000002</v>
      </c>
      <c r="BG72" s="387">
        <f t="shared" si="49"/>
        <v>303.98513600000001</v>
      </c>
      <c r="BH72" s="387">
        <f t="shared" si="50"/>
        <v>206.59183999999999</v>
      </c>
      <c r="BI72" s="387">
        <f t="shared" si="51"/>
        <v>129.01449599999998</v>
      </c>
      <c r="BJ72" s="387">
        <f t="shared" si="52"/>
        <v>586.0462399999999</v>
      </c>
      <c r="BK72" s="387">
        <f t="shared" si="53"/>
        <v>0</v>
      </c>
      <c r="BL72" s="387">
        <f t="shared" si="76"/>
        <v>9485.0951519999981</v>
      </c>
      <c r="BM72" s="387">
        <f t="shared" si="77"/>
        <v>0</v>
      </c>
      <c r="BN72" s="387">
        <f t="shared" si="54"/>
        <v>11650</v>
      </c>
      <c r="BO72" s="387">
        <f t="shared" si="55"/>
        <v>0</v>
      </c>
      <c r="BP72" s="387">
        <f t="shared" si="56"/>
        <v>2614.0191999999997</v>
      </c>
      <c r="BQ72" s="387">
        <f t="shared" si="57"/>
        <v>611.34320000000002</v>
      </c>
      <c r="BR72" s="387">
        <f t="shared" si="58"/>
        <v>5034.0950400000002</v>
      </c>
      <c r="BS72" s="387">
        <f t="shared" si="59"/>
        <v>303.98513600000001</v>
      </c>
      <c r="BT72" s="387">
        <f t="shared" si="60"/>
        <v>0</v>
      </c>
      <c r="BU72" s="387">
        <f t="shared" si="61"/>
        <v>129.01449599999998</v>
      </c>
      <c r="BV72" s="387">
        <f t="shared" si="62"/>
        <v>586.0462399999999</v>
      </c>
      <c r="BW72" s="387">
        <f t="shared" si="63"/>
        <v>0</v>
      </c>
      <c r="BX72" s="387">
        <f t="shared" si="78"/>
        <v>9278.5033119999989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-206.59183999999999</v>
      </c>
      <c r="CG72" s="387">
        <f t="shared" si="68"/>
        <v>0</v>
      </c>
      <c r="CH72" s="387">
        <f t="shared" si="69"/>
        <v>0</v>
      </c>
      <c r="CI72" s="387">
        <f t="shared" si="70"/>
        <v>0</v>
      </c>
      <c r="CJ72" s="387">
        <f t="shared" si="83"/>
        <v>-206.59183999999999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0450-26</v>
      </c>
    </row>
    <row r="73" spans="1:92" ht="15.75" thickBot="1" x14ac:dyDescent="0.3">
      <c r="A73" s="376" t="s">
        <v>161</v>
      </c>
      <c r="B73" s="376" t="s">
        <v>162</v>
      </c>
      <c r="C73" s="376" t="s">
        <v>450</v>
      </c>
      <c r="D73" s="376" t="s">
        <v>451</v>
      </c>
      <c r="E73" s="376" t="s">
        <v>251</v>
      </c>
      <c r="F73" s="382" t="s">
        <v>407</v>
      </c>
      <c r="G73" s="376" t="s">
        <v>267</v>
      </c>
      <c r="H73" s="378"/>
      <c r="I73" s="378"/>
      <c r="J73" s="376" t="s">
        <v>186</v>
      </c>
      <c r="K73" s="376" t="s">
        <v>452</v>
      </c>
      <c r="L73" s="376" t="s">
        <v>178</v>
      </c>
      <c r="M73" s="376" t="s">
        <v>171</v>
      </c>
      <c r="N73" s="376" t="s">
        <v>172</v>
      </c>
      <c r="O73" s="379">
        <v>1</v>
      </c>
      <c r="P73" s="385">
        <v>1</v>
      </c>
      <c r="Q73" s="385">
        <v>1</v>
      </c>
      <c r="R73" s="380">
        <v>80</v>
      </c>
      <c r="S73" s="385">
        <v>1</v>
      </c>
      <c r="T73" s="380">
        <v>22564.37</v>
      </c>
      <c r="U73" s="380">
        <v>0</v>
      </c>
      <c r="V73" s="380">
        <v>16199.72</v>
      </c>
      <c r="W73" s="380">
        <v>40497.599999999999</v>
      </c>
      <c r="X73" s="380">
        <v>20760.71</v>
      </c>
      <c r="Y73" s="380">
        <v>40497.599999999999</v>
      </c>
      <c r="Z73" s="380">
        <v>20562.28</v>
      </c>
      <c r="AA73" s="376" t="s">
        <v>453</v>
      </c>
      <c r="AB73" s="376" t="s">
        <v>454</v>
      </c>
      <c r="AC73" s="376" t="s">
        <v>455</v>
      </c>
      <c r="AD73" s="376" t="s">
        <v>263</v>
      </c>
      <c r="AE73" s="376" t="s">
        <v>452</v>
      </c>
      <c r="AF73" s="376" t="s">
        <v>250</v>
      </c>
      <c r="AG73" s="376" t="s">
        <v>178</v>
      </c>
      <c r="AH73" s="381">
        <v>19.47</v>
      </c>
      <c r="AI73" s="379">
        <v>18087</v>
      </c>
      <c r="AJ73" s="376" t="s">
        <v>179</v>
      </c>
      <c r="AK73" s="376" t="s">
        <v>180</v>
      </c>
      <c r="AL73" s="376" t="s">
        <v>181</v>
      </c>
      <c r="AM73" s="376" t="s">
        <v>182</v>
      </c>
      <c r="AN73" s="376" t="s">
        <v>68</v>
      </c>
      <c r="AO73" s="379">
        <v>80</v>
      </c>
      <c r="AP73" s="385">
        <v>1</v>
      </c>
      <c r="AQ73" s="385">
        <v>1</v>
      </c>
      <c r="AR73" s="383" t="s">
        <v>183</v>
      </c>
      <c r="AS73" s="387">
        <f t="shared" si="71"/>
        <v>1</v>
      </c>
      <c r="AT73">
        <f t="shared" si="72"/>
        <v>1</v>
      </c>
      <c r="AU73" s="387">
        <f>IF(AT73=0,"",IF(AND(AT73=1,M73="F",SUMIF(C2:C206,C73,AS2:AS206)&lt;=1),SUMIF(C2:C206,C73,AS2:AS206),IF(AND(AT73=1,M73="F",SUMIF(C2:C206,C73,AS2:AS206)&gt;1),1,"")))</f>
        <v>1</v>
      </c>
      <c r="AV73" s="387" t="str">
        <f>IF(AT73=0,"",IF(AND(AT73=3,M73="F",SUMIF(C2:C206,C73,AS2:AS206)&lt;=1),SUMIF(C2:C206,C73,AS2:AS206),IF(AND(AT73=3,M73="F",SUMIF(C2:C206,C73,AS2:AS206)&gt;1),1,"")))</f>
        <v/>
      </c>
      <c r="AW73" s="387">
        <f>SUMIF(C2:C206,C73,O2:O206)</f>
        <v>1</v>
      </c>
      <c r="AX73" s="387">
        <f>IF(AND(M73="F",AS73&lt;&gt;0),SUMIF(C2:C206,C73,W2:W206),0)</f>
        <v>40497.599999999999</v>
      </c>
      <c r="AY73" s="387">
        <f t="shared" si="73"/>
        <v>40497.599999999999</v>
      </c>
      <c r="AZ73" s="387" t="str">
        <f t="shared" si="74"/>
        <v/>
      </c>
      <c r="BA73" s="387">
        <f t="shared" si="75"/>
        <v>0</v>
      </c>
      <c r="BB73" s="387">
        <f t="shared" si="44"/>
        <v>11650</v>
      </c>
      <c r="BC73" s="387">
        <f t="shared" si="45"/>
        <v>0</v>
      </c>
      <c r="BD73" s="387">
        <f t="shared" si="46"/>
        <v>2510.8512000000001</v>
      </c>
      <c r="BE73" s="387">
        <f t="shared" si="47"/>
        <v>587.21519999999998</v>
      </c>
      <c r="BF73" s="387">
        <f t="shared" si="48"/>
        <v>4835.4134400000003</v>
      </c>
      <c r="BG73" s="387">
        <f t="shared" si="49"/>
        <v>291.98769600000003</v>
      </c>
      <c r="BH73" s="387">
        <f t="shared" si="50"/>
        <v>198.43823999999998</v>
      </c>
      <c r="BI73" s="387">
        <f t="shared" si="51"/>
        <v>123.92265599999999</v>
      </c>
      <c r="BJ73" s="387">
        <f t="shared" si="52"/>
        <v>562.91663999999992</v>
      </c>
      <c r="BK73" s="387">
        <f t="shared" si="53"/>
        <v>0</v>
      </c>
      <c r="BL73" s="387">
        <f t="shared" si="76"/>
        <v>9110.7450719999997</v>
      </c>
      <c r="BM73" s="387">
        <f t="shared" si="77"/>
        <v>0</v>
      </c>
      <c r="BN73" s="387">
        <f t="shared" si="54"/>
        <v>11650</v>
      </c>
      <c r="BO73" s="387">
        <f t="shared" si="55"/>
        <v>0</v>
      </c>
      <c r="BP73" s="387">
        <f t="shared" si="56"/>
        <v>2510.8512000000001</v>
      </c>
      <c r="BQ73" s="387">
        <f t="shared" si="57"/>
        <v>587.21519999999998</v>
      </c>
      <c r="BR73" s="387">
        <f t="shared" si="58"/>
        <v>4835.4134400000003</v>
      </c>
      <c r="BS73" s="387">
        <f t="shared" si="59"/>
        <v>291.98769600000003</v>
      </c>
      <c r="BT73" s="387">
        <f t="shared" si="60"/>
        <v>0</v>
      </c>
      <c r="BU73" s="387">
        <f t="shared" si="61"/>
        <v>123.92265599999999</v>
      </c>
      <c r="BV73" s="387">
        <f t="shared" si="62"/>
        <v>562.91663999999992</v>
      </c>
      <c r="BW73" s="387">
        <f t="shared" si="63"/>
        <v>0</v>
      </c>
      <c r="BX73" s="387">
        <f t="shared" si="78"/>
        <v>8912.3068320000002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-198.43823999999998</v>
      </c>
      <c r="CG73" s="387">
        <f t="shared" si="68"/>
        <v>0</v>
      </c>
      <c r="CH73" s="387">
        <f t="shared" si="69"/>
        <v>0</v>
      </c>
      <c r="CI73" s="387">
        <f t="shared" si="70"/>
        <v>0</v>
      </c>
      <c r="CJ73" s="387">
        <f t="shared" si="83"/>
        <v>-198.43823999999998</v>
      </c>
      <c r="CK73" s="387" t="str">
        <f t="shared" si="84"/>
        <v/>
      </c>
      <c r="CL73" s="387" t="str">
        <f t="shared" si="85"/>
        <v/>
      </c>
      <c r="CM73" s="387" t="str">
        <f t="shared" si="86"/>
        <v/>
      </c>
      <c r="CN73" s="387" t="str">
        <f t="shared" si="87"/>
        <v>0450-26</v>
      </c>
    </row>
    <row r="74" spans="1:92" ht="15.75" thickBot="1" x14ac:dyDescent="0.3">
      <c r="A74" s="376" t="s">
        <v>161</v>
      </c>
      <c r="B74" s="376" t="s">
        <v>162</v>
      </c>
      <c r="C74" s="376" t="s">
        <v>358</v>
      </c>
      <c r="D74" s="376" t="s">
        <v>359</v>
      </c>
      <c r="E74" s="376" t="s">
        <v>251</v>
      </c>
      <c r="F74" s="382" t="s">
        <v>407</v>
      </c>
      <c r="G74" s="376" t="s">
        <v>267</v>
      </c>
      <c r="H74" s="378"/>
      <c r="I74" s="378"/>
      <c r="J74" s="376" t="s">
        <v>242</v>
      </c>
      <c r="K74" s="376" t="s">
        <v>360</v>
      </c>
      <c r="L74" s="376" t="s">
        <v>283</v>
      </c>
      <c r="M74" s="376" t="s">
        <v>171</v>
      </c>
      <c r="N74" s="376" t="s">
        <v>172</v>
      </c>
      <c r="O74" s="379">
        <v>1</v>
      </c>
      <c r="P74" s="385">
        <v>0.5</v>
      </c>
      <c r="Q74" s="385">
        <v>0.5</v>
      </c>
      <c r="R74" s="380">
        <v>80</v>
      </c>
      <c r="S74" s="385">
        <v>0.5</v>
      </c>
      <c r="T74" s="380">
        <v>39971.99</v>
      </c>
      <c r="U74" s="380">
        <v>0</v>
      </c>
      <c r="V74" s="380">
        <v>13987.73</v>
      </c>
      <c r="W74" s="380">
        <v>41204.800000000003</v>
      </c>
      <c r="X74" s="380">
        <v>15094.82</v>
      </c>
      <c r="Y74" s="380">
        <v>41204.800000000003</v>
      </c>
      <c r="Z74" s="380">
        <v>14892.92</v>
      </c>
      <c r="AA74" s="376" t="s">
        <v>361</v>
      </c>
      <c r="AB74" s="376" t="s">
        <v>362</v>
      </c>
      <c r="AC74" s="376" t="s">
        <v>363</v>
      </c>
      <c r="AD74" s="376" t="s">
        <v>364</v>
      </c>
      <c r="AE74" s="376" t="s">
        <v>360</v>
      </c>
      <c r="AF74" s="376" t="s">
        <v>288</v>
      </c>
      <c r="AG74" s="376" t="s">
        <v>178</v>
      </c>
      <c r="AH74" s="381">
        <v>39.619999999999997</v>
      </c>
      <c r="AI74" s="381">
        <v>13592.9</v>
      </c>
      <c r="AJ74" s="376" t="s">
        <v>179</v>
      </c>
      <c r="AK74" s="376" t="s">
        <v>180</v>
      </c>
      <c r="AL74" s="376" t="s">
        <v>181</v>
      </c>
      <c r="AM74" s="376" t="s">
        <v>182</v>
      </c>
      <c r="AN74" s="376" t="s">
        <v>68</v>
      </c>
      <c r="AO74" s="379">
        <v>80</v>
      </c>
      <c r="AP74" s="385">
        <v>1</v>
      </c>
      <c r="AQ74" s="385">
        <v>0.5</v>
      </c>
      <c r="AR74" s="383" t="s">
        <v>183</v>
      </c>
      <c r="AS74" s="387">
        <f t="shared" si="71"/>
        <v>0.5</v>
      </c>
      <c r="AT74">
        <f t="shared" si="72"/>
        <v>1</v>
      </c>
      <c r="AU74" s="387">
        <f>IF(AT74=0,"",IF(AND(AT74=1,M74="F",SUMIF(C2:C206,C74,AS2:AS206)&lt;=1),SUMIF(C2:C206,C74,AS2:AS206),IF(AND(AT74=1,M74="F",SUMIF(C2:C206,C74,AS2:AS206)&gt;1),1,"")))</f>
        <v>1</v>
      </c>
      <c r="AV74" s="387" t="str">
        <f>IF(AT74=0,"",IF(AND(AT74=3,M74="F",SUMIF(C2:C206,C74,AS2:AS206)&lt;=1),SUMIF(C2:C206,C74,AS2:AS206),IF(AND(AT74=3,M74="F",SUMIF(C2:C206,C74,AS2:AS206)&gt;1),1,"")))</f>
        <v/>
      </c>
      <c r="AW74" s="387">
        <f>SUMIF(C2:C206,C74,O2:O206)</f>
        <v>2</v>
      </c>
      <c r="AX74" s="387">
        <f>IF(AND(M74="F",AS74&lt;&gt;0),SUMIF(C2:C206,C74,W2:W206),0)</f>
        <v>82409.600000000006</v>
      </c>
      <c r="AY74" s="387">
        <f t="shared" si="73"/>
        <v>41204.800000000003</v>
      </c>
      <c r="AZ74" s="387" t="str">
        <f t="shared" si="74"/>
        <v/>
      </c>
      <c r="BA74" s="387">
        <f t="shared" si="75"/>
        <v>0</v>
      </c>
      <c r="BB74" s="387">
        <f t="shared" si="44"/>
        <v>5825</v>
      </c>
      <c r="BC74" s="387">
        <f t="shared" si="45"/>
        <v>0</v>
      </c>
      <c r="BD74" s="387">
        <f t="shared" si="46"/>
        <v>2554.6976</v>
      </c>
      <c r="BE74" s="387">
        <f t="shared" si="47"/>
        <v>597.46960000000013</v>
      </c>
      <c r="BF74" s="387">
        <f t="shared" si="48"/>
        <v>4919.8531200000007</v>
      </c>
      <c r="BG74" s="387">
        <f t="shared" si="49"/>
        <v>297.08660800000001</v>
      </c>
      <c r="BH74" s="387">
        <f t="shared" si="50"/>
        <v>201.90352000000001</v>
      </c>
      <c r="BI74" s="387">
        <f t="shared" si="51"/>
        <v>126.086688</v>
      </c>
      <c r="BJ74" s="387">
        <f t="shared" si="52"/>
        <v>572.74671999999998</v>
      </c>
      <c r="BK74" s="387">
        <f t="shared" si="53"/>
        <v>0</v>
      </c>
      <c r="BL74" s="387">
        <f t="shared" si="76"/>
        <v>9269.8438559999995</v>
      </c>
      <c r="BM74" s="387">
        <f t="shared" si="77"/>
        <v>0</v>
      </c>
      <c r="BN74" s="387">
        <f t="shared" si="54"/>
        <v>5825</v>
      </c>
      <c r="BO74" s="387">
        <f t="shared" si="55"/>
        <v>0</v>
      </c>
      <c r="BP74" s="387">
        <f t="shared" si="56"/>
        <v>2554.6976</v>
      </c>
      <c r="BQ74" s="387">
        <f t="shared" si="57"/>
        <v>597.46960000000013</v>
      </c>
      <c r="BR74" s="387">
        <f t="shared" si="58"/>
        <v>4919.8531200000007</v>
      </c>
      <c r="BS74" s="387">
        <f t="shared" si="59"/>
        <v>297.08660800000001</v>
      </c>
      <c r="BT74" s="387">
        <f t="shared" si="60"/>
        <v>0</v>
      </c>
      <c r="BU74" s="387">
        <f t="shared" si="61"/>
        <v>126.086688</v>
      </c>
      <c r="BV74" s="387">
        <f t="shared" si="62"/>
        <v>572.74671999999998</v>
      </c>
      <c r="BW74" s="387">
        <f t="shared" si="63"/>
        <v>0</v>
      </c>
      <c r="BX74" s="387">
        <f t="shared" si="78"/>
        <v>9067.9403359999997</v>
      </c>
      <c r="BY74" s="387">
        <f t="shared" si="79"/>
        <v>0</v>
      </c>
      <c r="BZ74" s="387">
        <f t="shared" si="80"/>
        <v>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0</v>
      </c>
      <c r="CE74" s="387">
        <f t="shared" si="66"/>
        <v>0</v>
      </c>
      <c r="CF74" s="387">
        <f t="shared" si="67"/>
        <v>-201.90352000000001</v>
      </c>
      <c r="CG74" s="387">
        <f t="shared" si="68"/>
        <v>0</v>
      </c>
      <c r="CH74" s="387">
        <f t="shared" si="69"/>
        <v>0</v>
      </c>
      <c r="CI74" s="387">
        <f t="shared" si="70"/>
        <v>0</v>
      </c>
      <c r="CJ74" s="387">
        <f t="shared" si="83"/>
        <v>-201.90352000000001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0450-26</v>
      </c>
    </row>
    <row r="75" spans="1:92" ht="15.75" thickBot="1" x14ac:dyDescent="0.3">
      <c r="A75" s="376" t="s">
        <v>161</v>
      </c>
      <c r="B75" s="376" t="s">
        <v>162</v>
      </c>
      <c r="C75" s="376" t="s">
        <v>456</v>
      </c>
      <c r="D75" s="376" t="s">
        <v>457</v>
      </c>
      <c r="E75" s="376" t="s">
        <v>251</v>
      </c>
      <c r="F75" s="382" t="s">
        <v>407</v>
      </c>
      <c r="G75" s="376" t="s">
        <v>267</v>
      </c>
      <c r="H75" s="378"/>
      <c r="I75" s="378"/>
      <c r="J75" s="376" t="s">
        <v>186</v>
      </c>
      <c r="K75" s="376" t="s">
        <v>458</v>
      </c>
      <c r="L75" s="376" t="s">
        <v>178</v>
      </c>
      <c r="M75" s="376" t="s">
        <v>171</v>
      </c>
      <c r="N75" s="376" t="s">
        <v>172</v>
      </c>
      <c r="O75" s="379">
        <v>1</v>
      </c>
      <c r="P75" s="385">
        <v>1</v>
      </c>
      <c r="Q75" s="385">
        <v>1</v>
      </c>
      <c r="R75" s="380">
        <v>80</v>
      </c>
      <c r="S75" s="385">
        <v>1</v>
      </c>
      <c r="T75" s="380">
        <v>39284</v>
      </c>
      <c r="U75" s="380">
        <v>0</v>
      </c>
      <c r="V75" s="380">
        <v>21013.24</v>
      </c>
      <c r="W75" s="380">
        <v>40664</v>
      </c>
      <c r="X75" s="380">
        <v>20798.14</v>
      </c>
      <c r="Y75" s="380">
        <v>40664</v>
      </c>
      <c r="Z75" s="380">
        <v>20598.89</v>
      </c>
      <c r="AA75" s="376" t="s">
        <v>459</v>
      </c>
      <c r="AB75" s="376" t="s">
        <v>460</v>
      </c>
      <c r="AC75" s="376" t="s">
        <v>461</v>
      </c>
      <c r="AD75" s="376" t="s">
        <v>269</v>
      </c>
      <c r="AE75" s="376" t="s">
        <v>458</v>
      </c>
      <c r="AF75" s="376" t="s">
        <v>250</v>
      </c>
      <c r="AG75" s="376" t="s">
        <v>178</v>
      </c>
      <c r="AH75" s="381">
        <v>19.55</v>
      </c>
      <c r="AI75" s="381">
        <v>25194.5</v>
      </c>
      <c r="AJ75" s="376" t="s">
        <v>179</v>
      </c>
      <c r="AK75" s="376" t="s">
        <v>180</v>
      </c>
      <c r="AL75" s="376" t="s">
        <v>181</v>
      </c>
      <c r="AM75" s="376" t="s">
        <v>182</v>
      </c>
      <c r="AN75" s="376" t="s">
        <v>68</v>
      </c>
      <c r="AO75" s="379">
        <v>80</v>
      </c>
      <c r="AP75" s="385">
        <v>1</v>
      </c>
      <c r="AQ75" s="385">
        <v>1</v>
      </c>
      <c r="AR75" s="383" t="s">
        <v>183</v>
      </c>
      <c r="AS75" s="387">
        <f t="shared" si="71"/>
        <v>1</v>
      </c>
      <c r="AT75">
        <f t="shared" si="72"/>
        <v>1</v>
      </c>
      <c r="AU75" s="387">
        <f>IF(AT75=0,"",IF(AND(AT75=1,M75="F",SUMIF(C2:C206,C75,AS2:AS206)&lt;=1),SUMIF(C2:C206,C75,AS2:AS206),IF(AND(AT75=1,M75="F",SUMIF(C2:C206,C75,AS2:AS206)&gt;1),1,"")))</f>
        <v>1</v>
      </c>
      <c r="AV75" s="387" t="str">
        <f>IF(AT75=0,"",IF(AND(AT75=3,M75="F",SUMIF(C2:C206,C75,AS2:AS206)&lt;=1),SUMIF(C2:C206,C75,AS2:AS206),IF(AND(AT75=3,M75="F",SUMIF(C2:C206,C75,AS2:AS206)&gt;1),1,"")))</f>
        <v/>
      </c>
      <c r="AW75" s="387">
        <f>SUMIF(C2:C206,C75,O2:O206)</f>
        <v>1</v>
      </c>
      <c r="AX75" s="387">
        <f>IF(AND(M75="F",AS75&lt;&gt;0),SUMIF(C2:C206,C75,W2:W206),0)</f>
        <v>40664</v>
      </c>
      <c r="AY75" s="387">
        <f t="shared" si="73"/>
        <v>40664</v>
      </c>
      <c r="AZ75" s="387" t="str">
        <f t="shared" si="74"/>
        <v/>
      </c>
      <c r="BA75" s="387">
        <f t="shared" si="75"/>
        <v>0</v>
      </c>
      <c r="BB75" s="387">
        <f t="shared" si="44"/>
        <v>11650</v>
      </c>
      <c r="BC75" s="387">
        <f t="shared" si="45"/>
        <v>0</v>
      </c>
      <c r="BD75" s="387">
        <f t="shared" si="46"/>
        <v>2521.1680000000001</v>
      </c>
      <c r="BE75" s="387">
        <f t="shared" si="47"/>
        <v>589.62800000000004</v>
      </c>
      <c r="BF75" s="387">
        <f t="shared" si="48"/>
        <v>4855.2816000000003</v>
      </c>
      <c r="BG75" s="387">
        <f t="shared" si="49"/>
        <v>293.18744000000004</v>
      </c>
      <c r="BH75" s="387">
        <f t="shared" si="50"/>
        <v>199.25360000000001</v>
      </c>
      <c r="BI75" s="387">
        <f t="shared" si="51"/>
        <v>124.43183999999999</v>
      </c>
      <c r="BJ75" s="387">
        <f t="shared" si="52"/>
        <v>565.2296</v>
      </c>
      <c r="BK75" s="387">
        <f t="shared" si="53"/>
        <v>0</v>
      </c>
      <c r="BL75" s="387">
        <f t="shared" si="76"/>
        <v>9148.1800800000001</v>
      </c>
      <c r="BM75" s="387">
        <f t="shared" si="77"/>
        <v>0</v>
      </c>
      <c r="BN75" s="387">
        <f t="shared" si="54"/>
        <v>11650</v>
      </c>
      <c r="BO75" s="387">
        <f t="shared" si="55"/>
        <v>0</v>
      </c>
      <c r="BP75" s="387">
        <f t="shared" si="56"/>
        <v>2521.1680000000001</v>
      </c>
      <c r="BQ75" s="387">
        <f t="shared" si="57"/>
        <v>589.62800000000004</v>
      </c>
      <c r="BR75" s="387">
        <f t="shared" si="58"/>
        <v>4855.2816000000003</v>
      </c>
      <c r="BS75" s="387">
        <f t="shared" si="59"/>
        <v>293.18744000000004</v>
      </c>
      <c r="BT75" s="387">
        <f t="shared" si="60"/>
        <v>0</v>
      </c>
      <c r="BU75" s="387">
        <f t="shared" si="61"/>
        <v>124.43183999999999</v>
      </c>
      <c r="BV75" s="387">
        <f t="shared" si="62"/>
        <v>565.2296</v>
      </c>
      <c r="BW75" s="387">
        <f t="shared" si="63"/>
        <v>0</v>
      </c>
      <c r="BX75" s="387">
        <f t="shared" si="78"/>
        <v>8948.9264800000001</v>
      </c>
      <c r="BY75" s="387">
        <f t="shared" si="79"/>
        <v>0</v>
      </c>
      <c r="BZ75" s="387">
        <f t="shared" si="80"/>
        <v>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0</v>
      </c>
      <c r="CE75" s="387">
        <f t="shared" si="66"/>
        <v>0</v>
      </c>
      <c r="CF75" s="387">
        <f t="shared" si="67"/>
        <v>-199.25360000000001</v>
      </c>
      <c r="CG75" s="387">
        <f t="shared" si="68"/>
        <v>0</v>
      </c>
      <c r="CH75" s="387">
        <f t="shared" si="69"/>
        <v>0</v>
      </c>
      <c r="CI75" s="387">
        <f t="shared" si="70"/>
        <v>0</v>
      </c>
      <c r="CJ75" s="387">
        <f t="shared" si="83"/>
        <v>-199.25360000000001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0450-26</v>
      </c>
    </row>
    <row r="76" spans="1:92" ht="15.75" thickBot="1" x14ac:dyDescent="0.3">
      <c r="A76" s="376" t="s">
        <v>161</v>
      </c>
      <c r="B76" s="376" t="s">
        <v>162</v>
      </c>
      <c r="C76" s="376" t="s">
        <v>462</v>
      </c>
      <c r="D76" s="376" t="s">
        <v>205</v>
      </c>
      <c r="E76" s="376" t="s">
        <v>251</v>
      </c>
      <c r="F76" s="382" t="s">
        <v>407</v>
      </c>
      <c r="G76" s="376" t="s">
        <v>267</v>
      </c>
      <c r="H76" s="378"/>
      <c r="I76" s="378"/>
      <c r="J76" s="376" t="s">
        <v>186</v>
      </c>
      <c r="K76" s="376" t="s">
        <v>206</v>
      </c>
      <c r="L76" s="376" t="s">
        <v>166</v>
      </c>
      <c r="M76" s="376" t="s">
        <v>171</v>
      </c>
      <c r="N76" s="376" t="s">
        <v>208</v>
      </c>
      <c r="O76" s="379">
        <v>0</v>
      </c>
      <c r="P76" s="385">
        <v>1</v>
      </c>
      <c r="Q76" s="385">
        <v>0</v>
      </c>
      <c r="R76" s="380">
        <v>0</v>
      </c>
      <c r="S76" s="385">
        <v>0</v>
      </c>
      <c r="T76" s="380">
        <v>420</v>
      </c>
      <c r="U76" s="380">
        <v>0</v>
      </c>
      <c r="V76" s="380">
        <v>37.130000000000003</v>
      </c>
      <c r="W76" s="380">
        <v>1560</v>
      </c>
      <c r="X76" s="380">
        <v>134.5</v>
      </c>
      <c r="Y76" s="380">
        <v>1560</v>
      </c>
      <c r="Z76" s="380">
        <v>134.5</v>
      </c>
      <c r="AA76" s="378"/>
      <c r="AB76" s="376" t="s">
        <v>45</v>
      </c>
      <c r="AC76" s="376" t="s">
        <v>45</v>
      </c>
      <c r="AD76" s="378"/>
      <c r="AE76" s="378"/>
      <c r="AF76" s="378"/>
      <c r="AG76" s="378"/>
      <c r="AH76" s="379">
        <v>0</v>
      </c>
      <c r="AI76" s="379">
        <v>0</v>
      </c>
      <c r="AJ76" s="378"/>
      <c r="AK76" s="378"/>
      <c r="AL76" s="376" t="s">
        <v>181</v>
      </c>
      <c r="AM76" s="378"/>
      <c r="AN76" s="378"/>
      <c r="AO76" s="379">
        <v>0</v>
      </c>
      <c r="AP76" s="385">
        <v>0</v>
      </c>
      <c r="AQ76" s="385">
        <v>0</v>
      </c>
      <c r="AR76" s="384"/>
      <c r="AS76" s="387">
        <f t="shared" si="71"/>
        <v>0</v>
      </c>
      <c r="AT76">
        <f t="shared" si="72"/>
        <v>0</v>
      </c>
      <c r="AU76" s="387" t="str">
        <f>IF(AT76=0,"",IF(AND(AT76=1,M76="F",SUMIF(C2:C206,C76,AS2:AS206)&lt;=1),SUMIF(C2:C206,C76,AS2:AS206),IF(AND(AT76=1,M76="F",SUMIF(C2:C206,C76,AS2:AS206)&gt;1),1,"")))</f>
        <v/>
      </c>
      <c r="AV76" s="387" t="str">
        <f>IF(AT76=0,"",IF(AND(AT76=3,M76="F",SUMIF(C2:C206,C76,AS2:AS206)&lt;=1),SUMIF(C2:C206,C76,AS2:AS206),IF(AND(AT76=3,M76="F",SUMIF(C2:C206,C76,AS2:AS206)&gt;1),1,"")))</f>
        <v/>
      </c>
      <c r="AW76" s="387">
        <f>SUMIF(C2:C206,C76,O2:O206)</f>
        <v>0</v>
      </c>
      <c r="AX76" s="387">
        <f>IF(AND(M76="F",AS76&lt;&gt;0),SUMIF(C2:C206,C76,W2:W206),0)</f>
        <v>0</v>
      </c>
      <c r="AY76" s="387" t="str">
        <f t="shared" si="73"/>
        <v/>
      </c>
      <c r="AZ76" s="387" t="str">
        <f t="shared" si="74"/>
        <v/>
      </c>
      <c r="BA76" s="387">
        <f t="shared" si="75"/>
        <v>0</v>
      </c>
      <c r="BB76" s="387">
        <f t="shared" si="44"/>
        <v>0</v>
      </c>
      <c r="BC76" s="387">
        <f t="shared" si="45"/>
        <v>0</v>
      </c>
      <c r="BD76" s="387">
        <f t="shared" si="46"/>
        <v>0</v>
      </c>
      <c r="BE76" s="387">
        <f t="shared" si="47"/>
        <v>0</v>
      </c>
      <c r="BF76" s="387">
        <f t="shared" si="48"/>
        <v>0</v>
      </c>
      <c r="BG76" s="387">
        <f t="shared" si="49"/>
        <v>0</v>
      </c>
      <c r="BH76" s="387">
        <f t="shared" si="50"/>
        <v>0</v>
      </c>
      <c r="BI76" s="387">
        <f t="shared" si="51"/>
        <v>0</v>
      </c>
      <c r="BJ76" s="387">
        <f t="shared" si="52"/>
        <v>0</v>
      </c>
      <c r="BK76" s="387">
        <f t="shared" si="53"/>
        <v>0</v>
      </c>
      <c r="BL76" s="387">
        <f t="shared" si="76"/>
        <v>0</v>
      </c>
      <c r="BM76" s="387">
        <f t="shared" si="77"/>
        <v>0</v>
      </c>
      <c r="BN76" s="387">
        <f t="shared" si="54"/>
        <v>0</v>
      </c>
      <c r="BO76" s="387">
        <f t="shared" si="55"/>
        <v>0</v>
      </c>
      <c r="BP76" s="387">
        <f t="shared" si="56"/>
        <v>0</v>
      </c>
      <c r="BQ76" s="387">
        <f t="shared" si="57"/>
        <v>0</v>
      </c>
      <c r="BR76" s="387">
        <f t="shared" si="58"/>
        <v>0</v>
      </c>
      <c r="BS76" s="387">
        <f t="shared" si="59"/>
        <v>0</v>
      </c>
      <c r="BT76" s="387">
        <f t="shared" si="60"/>
        <v>0</v>
      </c>
      <c r="BU76" s="387">
        <f t="shared" si="61"/>
        <v>0</v>
      </c>
      <c r="BV76" s="387">
        <f t="shared" si="62"/>
        <v>0</v>
      </c>
      <c r="BW76" s="387">
        <f t="shared" si="63"/>
        <v>0</v>
      </c>
      <c r="BX76" s="387">
        <f t="shared" si="78"/>
        <v>0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0</v>
      </c>
      <c r="CG76" s="387">
        <f t="shared" si="68"/>
        <v>0</v>
      </c>
      <c r="CH76" s="387">
        <f t="shared" si="69"/>
        <v>0</v>
      </c>
      <c r="CI76" s="387">
        <f t="shared" si="70"/>
        <v>0</v>
      </c>
      <c r="CJ76" s="387">
        <f t="shared" si="83"/>
        <v>0</v>
      </c>
      <c r="CK76" s="387" t="str">
        <f t="shared" si="84"/>
        <v/>
      </c>
      <c r="CL76" s="387">
        <f t="shared" si="85"/>
        <v>420</v>
      </c>
      <c r="CM76" s="387">
        <f t="shared" si="86"/>
        <v>37.130000000000003</v>
      </c>
      <c r="CN76" s="387" t="str">
        <f t="shared" si="87"/>
        <v>0450-26</v>
      </c>
    </row>
    <row r="77" spans="1:92" ht="15.75" thickBot="1" x14ac:dyDescent="0.3">
      <c r="A77" s="376" t="s">
        <v>161</v>
      </c>
      <c r="B77" s="376" t="s">
        <v>162</v>
      </c>
      <c r="C77" s="376" t="s">
        <v>463</v>
      </c>
      <c r="D77" s="376" t="s">
        <v>457</v>
      </c>
      <c r="E77" s="376" t="s">
        <v>251</v>
      </c>
      <c r="F77" s="382" t="s">
        <v>407</v>
      </c>
      <c r="G77" s="376" t="s">
        <v>267</v>
      </c>
      <c r="H77" s="378"/>
      <c r="I77" s="378"/>
      <c r="J77" s="376" t="s">
        <v>186</v>
      </c>
      <c r="K77" s="376" t="s">
        <v>458</v>
      </c>
      <c r="L77" s="376" t="s">
        <v>178</v>
      </c>
      <c r="M77" s="376" t="s">
        <v>171</v>
      </c>
      <c r="N77" s="376" t="s">
        <v>172</v>
      </c>
      <c r="O77" s="379">
        <v>1</v>
      </c>
      <c r="P77" s="385">
        <v>1</v>
      </c>
      <c r="Q77" s="385">
        <v>1</v>
      </c>
      <c r="R77" s="380">
        <v>80</v>
      </c>
      <c r="S77" s="385">
        <v>1</v>
      </c>
      <c r="T77" s="380">
        <v>37477.040000000001</v>
      </c>
      <c r="U77" s="380">
        <v>0</v>
      </c>
      <c r="V77" s="380">
        <v>21456</v>
      </c>
      <c r="W77" s="380">
        <v>39312</v>
      </c>
      <c r="X77" s="380">
        <v>20493.98</v>
      </c>
      <c r="Y77" s="380">
        <v>39312</v>
      </c>
      <c r="Z77" s="380">
        <v>20301.36</v>
      </c>
      <c r="AA77" s="376" t="s">
        <v>464</v>
      </c>
      <c r="AB77" s="376" t="s">
        <v>465</v>
      </c>
      <c r="AC77" s="376" t="s">
        <v>466</v>
      </c>
      <c r="AD77" s="376" t="s">
        <v>467</v>
      </c>
      <c r="AE77" s="376" t="s">
        <v>458</v>
      </c>
      <c r="AF77" s="376" t="s">
        <v>250</v>
      </c>
      <c r="AG77" s="376" t="s">
        <v>178</v>
      </c>
      <c r="AH77" s="381">
        <v>18.899999999999999</v>
      </c>
      <c r="AI77" s="381">
        <v>2137.5</v>
      </c>
      <c r="AJ77" s="376" t="s">
        <v>179</v>
      </c>
      <c r="AK77" s="376" t="s">
        <v>180</v>
      </c>
      <c r="AL77" s="376" t="s">
        <v>181</v>
      </c>
      <c r="AM77" s="376" t="s">
        <v>182</v>
      </c>
      <c r="AN77" s="376" t="s">
        <v>68</v>
      </c>
      <c r="AO77" s="379">
        <v>80</v>
      </c>
      <c r="AP77" s="385">
        <v>1</v>
      </c>
      <c r="AQ77" s="385">
        <v>1</v>
      </c>
      <c r="AR77" s="383" t="s">
        <v>183</v>
      </c>
      <c r="AS77" s="387">
        <f t="shared" si="71"/>
        <v>1</v>
      </c>
      <c r="AT77">
        <f t="shared" si="72"/>
        <v>1</v>
      </c>
      <c r="AU77" s="387">
        <f>IF(AT77=0,"",IF(AND(AT77=1,M77="F",SUMIF(C2:C206,C77,AS2:AS206)&lt;=1),SUMIF(C2:C206,C77,AS2:AS206),IF(AND(AT77=1,M77="F",SUMIF(C2:C206,C77,AS2:AS206)&gt;1),1,"")))</f>
        <v>1</v>
      </c>
      <c r="AV77" s="387" t="str">
        <f>IF(AT77=0,"",IF(AND(AT77=3,M77="F",SUMIF(C2:C206,C77,AS2:AS206)&lt;=1),SUMIF(C2:C206,C77,AS2:AS206),IF(AND(AT77=3,M77="F",SUMIF(C2:C206,C77,AS2:AS206)&gt;1),1,"")))</f>
        <v/>
      </c>
      <c r="AW77" s="387">
        <f>SUMIF(C2:C206,C77,O2:O206)</f>
        <v>1</v>
      </c>
      <c r="AX77" s="387">
        <f>IF(AND(M77="F",AS77&lt;&gt;0),SUMIF(C2:C206,C77,W2:W206),0)</f>
        <v>39312</v>
      </c>
      <c r="AY77" s="387">
        <f t="shared" si="73"/>
        <v>39312</v>
      </c>
      <c r="AZ77" s="387" t="str">
        <f t="shared" si="74"/>
        <v/>
      </c>
      <c r="BA77" s="387">
        <f t="shared" si="75"/>
        <v>0</v>
      </c>
      <c r="BB77" s="387">
        <f t="shared" si="44"/>
        <v>11650</v>
      </c>
      <c r="BC77" s="387">
        <f t="shared" si="45"/>
        <v>0</v>
      </c>
      <c r="BD77" s="387">
        <f t="shared" si="46"/>
        <v>2437.3440000000001</v>
      </c>
      <c r="BE77" s="387">
        <f t="shared" si="47"/>
        <v>570.024</v>
      </c>
      <c r="BF77" s="387">
        <f t="shared" si="48"/>
        <v>4693.8528000000006</v>
      </c>
      <c r="BG77" s="387">
        <f t="shared" si="49"/>
        <v>283.43952000000002</v>
      </c>
      <c r="BH77" s="387">
        <f t="shared" si="50"/>
        <v>192.62879999999998</v>
      </c>
      <c r="BI77" s="387">
        <f t="shared" si="51"/>
        <v>120.29472</v>
      </c>
      <c r="BJ77" s="387">
        <f t="shared" si="52"/>
        <v>546.43679999999995</v>
      </c>
      <c r="BK77" s="387">
        <f t="shared" si="53"/>
        <v>0</v>
      </c>
      <c r="BL77" s="387">
        <f t="shared" si="76"/>
        <v>8844.0206400000006</v>
      </c>
      <c r="BM77" s="387">
        <f t="shared" si="77"/>
        <v>0</v>
      </c>
      <c r="BN77" s="387">
        <f t="shared" si="54"/>
        <v>11650</v>
      </c>
      <c r="BO77" s="387">
        <f t="shared" si="55"/>
        <v>0</v>
      </c>
      <c r="BP77" s="387">
        <f t="shared" si="56"/>
        <v>2437.3440000000001</v>
      </c>
      <c r="BQ77" s="387">
        <f t="shared" si="57"/>
        <v>570.024</v>
      </c>
      <c r="BR77" s="387">
        <f t="shared" si="58"/>
        <v>4693.8528000000006</v>
      </c>
      <c r="BS77" s="387">
        <f t="shared" si="59"/>
        <v>283.43952000000002</v>
      </c>
      <c r="BT77" s="387">
        <f t="shared" si="60"/>
        <v>0</v>
      </c>
      <c r="BU77" s="387">
        <f t="shared" si="61"/>
        <v>120.29472</v>
      </c>
      <c r="BV77" s="387">
        <f t="shared" si="62"/>
        <v>546.43679999999995</v>
      </c>
      <c r="BW77" s="387">
        <f t="shared" si="63"/>
        <v>0</v>
      </c>
      <c r="BX77" s="387">
        <f t="shared" si="78"/>
        <v>8651.3918400000002</v>
      </c>
      <c r="BY77" s="387">
        <f t="shared" si="79"/>
        <v>0</v>
      </c>
      <c r="BZ77" s="387">
        <f t="shared" si="80"/>
        <v>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0</v>
      </c>
      <c r="CE77" s="387">
        <f t="shared" si="66"/>
        <v>0</v>
      </c>
      <c r="CF77" s="387">
        <f t="shared" si="67"/>
        <v>-192.62879999999998</v>
      </c>
      <c r="CG77" s="387">
        <f t="shared" si="68"/>
        <v>0</v>
      </c>
      <c r="CH77" s="387">
        <f t="shared" si="69"/>
        <v>0</v>
      </c>
      <c r="CI77" s="387">
        <f t="shared" si="70"/>
        <v>0</v>
      </c>
      <c r="CJ77" s="387">
        <f t="shared" si="83"/>
        <v>-192.62879999999998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0450-26</v>
      </c>
    </row>
    <row r="78" spans="1:92" ht="15.75" thickBot="1" x14ac:dyDescent="0.3">
      <c r="A78" s="376" t="s">
        <v>161</v>
      </c>
      <c r="B78" s="376" t="s">
        <v>162</v>
      </c>
      <c r="C78" s="376" t="s">
        <v>468</v>
      </c>
      <c r="D78" s="376" t="s">
        <v>469</v>
      </c>
      <c r="E78" s="376" t="s">
        <v>251</v>
      </c>
      <c r="F78" s="382" t="s">
        <v>407</v>
      </c>
      <c r="G78" s="376" t="s">
        <v>267</v>
      </c>
      <c r="H78" s="378"/>
      <c r="I78" s="378"/>
      <c r="J78" s="376" t="s">
        <v>242</v>
      </c>
      <c r="K78" s="376" t="s">
        <v>470</v>
      </c>
      <c r="L78" s="376" t="s">
        <v>166</v>
      </c>
      <c r="M78" s="376" t="s">
        <v>171</v>
      </c>
      <c r="N78" s="376" t="s">
        <v>198</v>
      </c>
      <c r="O78" s="379">
        <v>1</v>
      </c>
      <c r="P78" s="385">
        <v>1</v>
      </c>
      <c r="Q78" s="385">
        <v>1</v>
      </c>
      <c r="R78" s="380">
        <v>80</v>
      </c>
      <c r="S78" s="385">
        <v>1</v>
      </c>
      <c r="T78" s="380">
        <v>94032</v>
      </c>
      <c r="U78" s="380">
        <v>0</v>
      </c>
      <c r="V78" s="380">
        <v>30629.24</v>
      </c>
      <c r="W78" s="380">
        <v>97344</v>
      </c>
      <c r="X78" s="380">
        <v>33251.57</v>
      </c>
      <c r="Y78" s="380">
        <v>97344</v>
      </c>
      <c r="Z78" s="380">
        <v>32774.6</v>
      </c>
      <c r="AA78" s="376" t="s">
        <v>471</v>
      </c>
      <c r="AB78" s="376" t="s">
        <v>472</v>
      </c>
      <c r="AC78" s="376" t="s">
        <v>473</v>
      </c>
      <c r="AD78" s="376" t="s">
        <v>474</v>
      </c>
      <c r="AE78" s="376" t="s">
        <v>475</v>
      </c>
      <c r="AF78" s="376" t="s">
        <v>203</v>
      </c>
      <c r="AG78" s="376" t="s">
        <v>178</v>
      </c>
      <c r="AH78" s="381">
        <v>46.8</v>
      </c>
      <c r="AI78" s="379">
        <v>3120</v>
      </c>
      <c r="AJ78" s="376" t="s">
        <v>179</v>
      </c>
      <c r="AK78" s="376" t="s">
        <v>180</v>
      </c>
      <c r="AL78" s="376" t="s">
        <v>181</v>
      </c>
      <c r="AM78" s="376" t="s">
        <v>182</v>
      </c>
      <c r="AN78" s="376" t="s">
        <v>68</v>
      </c>
      <c r="AO78" s="379">
        <v>80</v>
      </c>
      <c r="AP78" s="385">
        <v>1</v>
      </c>
      <c r="AQ78" s="385">
        <v>1</v>
      </c>
      <c r="AR78" s="383" t="s">
        <v>183</v>
      </c>
      <c r="AS78" s="387">
        <f t="shared" si="71"/>
        <v>1</v>
      </c>
      <c r="AT78">
        <f t="shared" si="72"/>
        <v>1</v>
      </c>
      <c r="AU78" s="387">
        <f>IF(AT78=0,"",IF(AND(AT78=1,M78="F",SUMIF(C2:C206,C78,AS2:AS206)&lt;=1),SUMIF(C2:C206,C78,AS2:AS206),IF(AND(AT78=1,M78="F",SUMIF(C2:C206,C78,AS2:AS206)&gt;1),1,"")))</f>
        <v>1</v>
      </c>
      <c r="AV78" s="387" t="str">
        <f>IF(AT78=0,"",IF(AND(AT78=3,M78="F",SUMIF(C2:C206,C78,AS2:AS206)&lt;=1),SUMIF(C2:C206,C78,AS2:AS206),IF(AND(AT78=3,M78="F",SUMIF(C2:C206,C78,AS2:AS206)&gt;1),1,"")))</f>
        <v/>
      </c>
      <c r="AW78" s="387">
        <f>SUMIF(C2:C206,C78,O2:O206)</f>
        <v>1</v>
      </c>
      <c r="AX78" s="387">
        <f>IF(AND(M78="F",AS78&lt;&gt;0),SUMIF(C2:C206,C78,W2:W206),0)</f>
        <v>97344</v>
      </c>
      <c r="AY78" s="387">
        <f t="shared" si="73"/>
        <v>97344</v>
      </c>
      <c r="AZ78" s="387" t="str">
        <f t="shared" si="74"/>
        <v/>
      </c>
      <c r="BA78" s="387">
        <f t="shared" si="75"/>
        <v>0</v>
      </c>
      <c r="BB78" s="387">
        <f t="shared" si="44"/>
        <v>11650</v>
      </c>
      <c r="BC78" s="387">
        <f t="shared" si="45"/>
        <v>0</v>
      </c>
      <c r="BD78" s="387">
        <f t="shared" si="46"/>
        <v>6035.3279999999995</v>
      </c>
      <c r="BE78" s="387">
        <f t="shared" si="47"/>
        <v>1411.4880000000001</v>
      </c>
      <c r="BF78" s="387">
        <f t="shared" si="48"/>
        <v>11622.873600000001</v>
      </c>
      <c r="BG78" s="387">
        <f t="shared" si="49"/>
        <v>701.85023999999999</v>
      </c>
      <c r="BH78" s="387">
        <f t="shared" si="50"/>
        <v>476.98559999999998</v>
      </c>
      <c r="BI78" s="387">
        <f t="shared" si="51"/>
        <v>0</v>
      </c>
      <c r="BJ78" s="387">
        <f t="shared" si="52"/>
        <v>1353.0816</v>
      </c>
      <c r="BK78" s="387">
        <f t="shared" si="53"/>
        <v>0</v>
      </c>
      <c r="BL78" s="387">
        <f t="shared" si="76"/>
        <v>21601.607040000003</v>
      </c>
      <c r="BM78" s="387">
        <f t="shared" si="77"/>
        <v>0</v>
      </c>
      <c r="BN78" s="387">
        <f t="shared" si="54"/>
        <v>11650</v>
      </c>
      <c r="BO78" s="387">
        <f t="shared" si="55"/>
        <v>0</v>
      </c>
      <c r="BP78" s="387">
        <f t="shared" si="56"/>
        <v>6035.3279999999995</v>
      </c>
      <c r="BQ78" s="387">
        <f t="shared" si="57"/>
        <v>1411.4880000000001</v>
      </c>
      <c r="BR78" s="387">
        <f t="shared" si="58"/>
        <v>11622.873600000001</v>
      </c>
      <c r="BS78" s="387">
        <f t="shared" si="59"/>
        <v>701.85023999999999</v>
      </c>
      <c r="BT78" s="387">
        <f t="shared" si="60"/>
        <v>0</v>
      </c>
      <c r="BU78" s="387">
        <f t="shared" si="61"/>
        <v>0</v>
      </c>
      <c r="BV78" s="387">
        <f t="shared" si="62"/>
        <v>1353.0816</v>
      </c>
      <c r="BW78" s="387">
        <f t="shared" si="63"/>
        <v>0</v>
      </c>
      <c r="BX78" s="387">
        <f t="shared" si="78"/>
        <v>21124.621440000003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-476.98559999999998</v>
      </c>
      <c r="CG78" s="387">
        <f t="shared" si="68"/>
        <v>0</v>
      </c>
      <c r="CH78" s="387">
        <f t="shared" si="69"/>
        <v>0</v>
      </c>
      <c r="CI78" s="387">
        <f t="shared" si="70"/>
        <v>0</v>
      </c>
      <c r="CJ78" s="387">
        <f t="shared" si="83"/>
        <v>-476.98559999999998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0450-26</v>
      </c>
    </row>
    <row r="79" spans="1:92" ht="15.75" thickBot="1" x14ac:dyDescent="0.3">
      <c r="A79" s="376" t="s">
        <v>161</v>
      </c>
      <c r="B79" s="376" t="s">
        <v>162</v>
      </c>
      <c r="C79" s="376" t="s">
        <v>476</v>
      </c>
      <c r="D79" s="376" t="s">
        <v>244</v>
      </c>
      <c r="E79" s="376" t="s">
        <v>251</v>
      </c>
      <c r="F79" s="382" t="s">
        <v>407</v>
      </c>
      <c r="G79" s="376" t="s">
        <v>267</v>
      </c>
      <c r="H79" s="378"/>
      <c r="I79" s="378"/>
      <c r="J79" s="376" t="s">
        <v>186</v>
      </c>
      <c r="K79" s="376" t="s">
        <v>245</v>
      </c>
      <c r="L79" s="376" t="s">
        <v>178</v>
      </c>
      <c r="M79" s="376" t="s">
        <v>171</v>
      </c>
      <c r="N79" s="376" t="s">
        <v>172</v>
      </c>
      <c r="O79" s="379">
        <v>1</v>
      </c>
      <c r="P79" s="385">
        <v>1</v>
      </c>
      <c r="Q79" s="385">
        <v>1</v>
      </c>
      <c r="R79" s="380">
        <v>80</v>
      </c>
      <c r="S79" s="385">
        <v>1</v>
      </c>
      <c r="T79" s="380">
        <v>32928.32</v>
      </c>
      <c r="U79" s="380">
        <v>1514.24</v>
      </c>
      <c r="V79" s="380">
        <v>16773.97</v>
      </c>
      <c r="W79" s="380">
        <v>38937.599999999999</v>
      </c>
      <c r="X79" s="380">
        <v>20409.759999999998</v>
      </c>
      <c r="Y79" s="380">
        <v>38937.599999999999</v>
      </c>
      <c r="Z79" s="380">
        <v>20218.97</v>
      </c>
      <c r="AA79" s="376" t="s">
        <v>477</v>
      </c>
      <c r="AB79" s="376" t="s">
        <v>478</v>
      </c>
      <c r="AC79" s="376" t="s">
        <v>479</v>
      </c>
      <c r="AD79" s="376" t="s">
        <v>480</v>
      </c>
      <c r="AE79" s="376" t="s">
        <v>245</v>
      </c>
      <c r="AF79" s="376" t="s">
        <v>250</v>
      </c>
      <c r="AG79" s="376" t="s">
        <v>178</v>
      </c>
      <c r="AH79" s="381">
        <v>18.72</v>
      </c>
      <c r="AI79" s="381">
        <v>6875.1</v>
      </c>
      <c r="AJ79" s="376" t="s">
        <v>179</v>
      </c>
      <c r="AK79" s="376" t="s">
        <v>180</v>
      </c>
      <c r="AL79" s="376" t="s">
        <v>181</v>
      </c>
      <c r="AM79" s="376" t="s">
        <v>182</v>
      </c>
      <c r="AN79" s="376" t="s">
        <v>68</v>
      </c>
      <c r="AO79" s="379">
        <v>80</v>
      </c>
      <c r="AP79" s="385">
        <v>1</v>
      </c>
      <c r="AQ79" s="385">
        <v>1</v>
      </c>
      <c r="AR79" s="383" t="s">
        <v>183</v>
      </c>
      <c r="AS79" s="387">
        <f t="shared" si="71"/>
        <v>1</v>
      </c>
      <c r="AT79">
        <f t="shared" si="72"/>
        <v>1</v>
      </c>
      <c r="AU79" s="387">
        <f>IF(AT79=0,"",IF(AND(AT79=1,M79="F",SUMIF(C2:C206,C79,AS2:AS206)&lt;=1),SUMIF(C2:C206,C79,AS2:AS206),IF(AND(AT79=1,M79="F",SUMIF(C2:C206,C79,AS2:AS206)&gt;1),1,"")))</f>
        <v>1</v>
      </c>
      <c r="AV79" s="387" t="str">
        <f>IF(AT79=0,"",IF(AND(AT79=3,M79="F",SUMIF(C2:C206,C79,AS2:AS206)&lt;=1),SUMIF(C2:C206,C79,AS2:AS206),IF(AND(AT79=3,M79="F",SUMIF(C2:C206,C79,AS2:AS206)&gt;1),1,"")))</f>
        <v/>
      </c>
      <c r="AW79" s="387">
        <f>SUMIF(C2:C206,C79,O2:O206)</f>
        <v>1</v>
      </c>
      <c r="AX79" s="387">
        <f>IF(AND(M79="F",AS79&lt;&gt;0),SUMIF(C2:C206,C79,W2:W206),0)</f>
        <v>38937.599999999999</v>
      </c>
      <c r="AY79" s="387">
        <f t="shared" si="73"/>
        <v>38937.599999999999</v>
      </c>
      <c r="AZ79" s="387" t="str">
        <f t="shared" si="74"/>
        <v/>
      </c>
      <c r="BA79" s="387">
        <f t="shared" si="75"/>
        <v>0</v>
      </c>
      <c r="BB79" s="387">
        <f t="shared" si="44"/>
        <v>11650</v>
      </c>
      <c r="BC79" s="387">
        <f t="shared" si="45"/>
        <v>0</v>
      </c>
      <c r="BD79" s="387">
        <f t="shared" si="46"/>
        <v>2414.1311999999998</v>
      </c>
      <c r="BE79" s="387">
        <f t="shared" si="47"/>
        <v>564.59519999999998</v>
      </c>
      <c r="BF79" s="387">
        <f t="shared" si="48"/>
        <v>4649.1494400000001</v>
      </c>
      <c r="BG79" s="387">
        <f t="shared" si="49"/>
        <v>280.74009599999999</v>
      </c>
      <c r="BH79" s="387">
        <f t="shared" si="50"/>
        <v>190.79423999999997</v>
      </c>
      <c r="BI79" s="387">
        <f t="shared" si="51"/>
        <v>119.14905599999999</v>
      </c>
      <c r="BJ79" s="387">
        <f t="shared" si="52"/>
        <v>541.23263999999995</v>
      </c>
      <c r="BK79" s="387">
        <f t="shared" si="53"/>
        <v>0</v>
      </c>
      <c r="BL79" s="387">
        <f t="shared" si="76"/>
        <v>8759.7918719999998</v>
      </c>
      <c r="BM79" s="387">
        <f t="shared" si="77"/>
        <v>0</v>
      </c>
      <c r="BN79" s="387">
        <f t="shared" si="54"/>
        <v>11650</v>
      </c>
      <c r="BO79" s="387">
        <f t="shared" si="55"/>
        <v>0</v>
      </c>
      <c r="BP79" s="387">
        <f t="shared" si="56"/>
        <v>2414.1311999999998</v>
      </c>
      <c r="BQ79" s="387">
        <f t="shared" si="57"/>
        <v>564.59519999999998</v>
      </c>
      <c r="BR79" s="387">
        <f t="shared" si="58"/>
        <v>4649.1494400000001</v>
      </c>
      <c r="BS79" s="387">
        <f t="shared" si="59"/>
        <v>280.74009599999999</v>
      </c>
      <c r="BT79" s="387">
        <f t="shared" si="60"/>
        <v>0</v>
      </c>
      <c r="BU79" s="387">
        <f t="shared" si="61"/>
        <v>119.14905599999999</v>
      </c>
      <c r="BV79" s="387">
        <f t="shared" si="62"/>
        <v>541.23263999999995</v>
      </c>
      <c r="BW79" s="387">
        <f t="shared" si="63"/>
        <v>0</v>
      </c>
      <c r="BX79" s="387">
        <f t="shared" si="78"/>
        <v>8568.9976320000005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-190.79423999999997</v>
      </c>
      <c r="CG79" s="387">
        <f t="shared" si="68"/>
        <v>0</v>
      </c>
      <c r="CH79" s="387">
        <f t="shared" si="69"/>
        <v>0</v>
      </c>
      <c r="CI79" s="387">
        <f t="shared" si="70"/>
        <v>0</v>
      </c>
      <c r="CJ79" s="387">
        <f t="shared" si="83"/>
        <v>-190.79423999999997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0450-26</v>
      </c>
    </row>
    <row r="80" spans="1:92" ht="15.75" thickBot="1" x14ac:dyDescent="0.3">
      <c r="A80" s="376" t="s">
        <v>161</v>
      </c>
      <c r="B80" s="376" t="s">
        <v>162</v>
      </c>
      <c r="C80" s="376" t="s">
        <v>481</v>
      </c>
      <c r="D80" s="376" t="s">
        <v>482</v>
      </c>
      <c r="E80" s="376" t="s">
        <v>251</v>
      </c>
      <c r="F80" s="382" t="s">
        <v>407</v>
      </c>
      <c r="G80" s="376" t="s">
        <v>267</v>
      </c>
      <c r="H80" s="378"/>
      <c r="I80" s="378"/>
      <c r="J80" s="376" t="s">
        <v>186</v>
      </c>
      <c r="K80" s="376" t="s">
        <v>483</v>
      </c>
      <c r="L80" s="376" t="s">
        <v>283</v>
      </c>
      <c r="M80" s="376" t="s">
        <v>171</v>
      </c>
      <c r="N80" s="376" t="s">
        <v>172</v>
      </c>
      <c r="O80" s="379">
        <v>1</v>
      </c>
      <c r="P80" s="385">
        <v>1</v>
      </c>
      <c r="Q80" s="385">
        <v>1</v>
      </c>
      <c r="R80" s="380">
        <v>80</v>
      </c>
      <c r="S80" s="385">
        <v>1</v>
      </c>
      <c r="T80" s="380">
        <v>77013.100000000006</v>
      </c>
      <c r="U80" s="380">
        <v>0</v>
      </c>
      <c r="V80" s="380">
        <v>27576.51</v>
      </c>
      <c r="W80" s="380">
        <v>77376</v>
      </c>
      <c r="X80" s="380">
        <v>29057.26</v>
      </c>
      <c r="Y80" s="380">
        <v>77376</v>
      </c>
      <c r="Z80" s="380">
        <v>28678.12</v>
      </c>
      <c r="AA80" s="376" t="s">
        <v>484</v>
      </c>
      <c r="AB80" s="376" t="s">
        <v>485</v>
      </c>
      <c r="AC80" s="376" t="s">
        <v>486</v>
      </c>
      <c r="AD80" s="376" t="s">
        <v>170</v>
      </c>
      <c r="AE80" s="376" t="s">
        <v>483</v>
      </c>
      <c r="AF80" s="376" t="s">
        <v>288</v>
      </c>
      <c r="AG80" s="376" t="s">
        <v>178</v>
      </c>
      <c r="AH80" s="381">
        <v>37.200000000000003</v>
      </c>
      <c r="AI80" s="381">
        <v>26516.9</v>
      </c>
      <c r="AJ80" s="376" t="s">
        <v>179</v>
      </c>
      <c r="AK80" s="376" t="s">
        <v>180</v>
      </c>
      <c r="AL80" s="376" t="s">
        <v>181</v>
      </c>
      <c r="AM80" s="376" t="s">
        <v>182</v>
      </c>
      <c r="AN80" s="376" t="s">
        <v>68</v>
      </c>
      <c r="AO80" s="379">
        <v>80</v>
      </c>
      <c r="AP80" s="385">
        <v>1</v>
      </c>
      <c r="AQ80" s="385">
        <v>1</v>
      </c>
      <c r="AR80" s="383" t="s">
        <v>183</v>
      </c>
      <c r="AS80" s="387">
        <f t="shared" si="71"/>
        <v>1</v>
      </c>
      <c r="AT80">
        <f t="shared" si="72"/>
        <v>1</v>
      </c>
      <c r="AU80" s="387">
        <f>IF(AT80=0,"",IF(AND(AT80=1,M80="F",SUMIF(C2:C206,C80,AS2:AS206)&lt;=1),SUMIF(C2:C206,C80,AS2:AS206),IF(AND(AT80=1,M80="F",SUMIF(C2:C206,C80,AS2:AS206)&gt;1),1,"")))</f>
        <v>1</v>
      </c>
      <c r="AV80" s="387" t="str">
        <f>IF(AT80=0,"",IF(AND(AT80=3,M80="F",SUMIF(C2:C206,C80,AS2:AS206)&lt;=1),SUMIF(C2:C206,C80,AS2:AS206),IF(AND(AT80=3,M80="F",SUMIF(C2:C206,C80,AS2:AS206)&gt;1),1,"")))</f>
        <v/>
      </c>
      <c r="AW80" s="387">
        <f>SUMIF(C2:C206,C80,O2:O206)</f>
        <v>1</v>
      </c>
      <c r="AX80" s="387">
        <f>IF(AND(M80="F",AS80&lt;&gt;0),SUMIF(C2:C206,C80,W2:W206),0)</f>
        <v>77376</v>
      </c>
      <c r="AY80" s="387">
        <f t="shared" si="73"/>
        <v>77376</v>
      </c>
      <c r="AZ80" s="387" t="str">
        <f t="shared" si="74"/>
        <v/>
      </c>
      <c r="BA80" s="387">
        <f t="shared" si="75"/>
        <v>0</v>
      </c>
      <c r="BB80" s="387">
        <f t="shared" si="44"/>
        <v>11650</v>
      </c>
      <c r="BC80" s="387">
        <f t="shared" si="45"/>
        <v>0</v>
      </c>
      <c r="BD80" s="387">
        <f t="shared" si="46"/>
        <v>4797.3119999999999</v>
      </c>
      <c r="BE80" s="387">
        <f t="shared" si="47"/>
        <v>1121.952</v>
      </c>
      <c r="BF80" s="387">
        <f t="shared" si="48"/>
        <v>9238.6944000000003</v>
      </c>
      <c r="BG80" s="387">
        <f t="shared" si="49"/>
        <v>557.88096000000007</v>
      </c>
      <c r="BH80" s="387">
        <f t="shared" si="50"/>
        <v>379.14240000000001</v>
      </c>
      <c r="BI80" s="387">
        <f t="shared" si="51"/>
        <v>236.77055999999999</v>
      </c>
      <c r="BJ80" s="387">
        <f t="shared" si="52"/>
        <v>1075.5264</v>
      </c>
      <c r="BK80" s="387">
        <f t="shared" si="53"/>
        <v>0</v>
      </c>
      <c r="BL80" s="387">
        <f t="shared" si="76"/>
        <v>17407.278720000002</v>
      </c>
      <c r="BM80" s="387">
        <f t="shared" si="77"/>
        <v>0</v>
      </c>
      <c r="BN80" s="387">
        <f t="shared" si="54"/>
        <v>11650</v>
      </c>
      <c r="BO80" s="387">
        <f t="shared" si="55"/>
        <v>0</v>
      </c>
      <c r="BP80" s="387">
        <f t="shared" si="56"/>
        <v>4797.3119999999999</v>
      </c>
      <c r="BQ80" s="387">
        <f t="shared" si="57"/>
        <v>1121.952</v>
      </c>
      <c r="BR80" s="387">
        <f t="shared" si="58"/>
        <v>9238.6944000000003</v>
      </c>
      <c r="BS80" s="387">
        <f t="shared" si="59"/>
        <v>557.88096000000007</v>
      </c>
      <c r="BT80" s="387">
        <f t="shared" si="60"/>
        <v>0</v>
      </c>
      <c r="BU80" s="387">
        <f t="shared" si="61"/>
        <v>236.77055999999999</v>
      </c>
      <c r="BV80" s="387">
        <f t="shared" si="62"/>
        <v>1075.5264</v>
      </c>
      <c r="BW80" s="387">
        <f t="shared" si="63"/>
        <v>0</v>
      </c>
      <c r="BX80" s="387">
        <f t="shared" si="78"/>
        <v>17028.136320000001</v>
      </c>
      <c r="BY80" s="387">
        <f t="shared" si="79"/>
        <v>0</v>
      </c>
      <c r="BZ80" s="387">
        <f t="shared" si="80"/>
        <v>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0</v>
      </c>
      <c r="CE80" s="387">
        <f t="shared" si="66"/>
        <v>0</v>
      </c>
      <c r="CF80" s="387">
        <f t="shared" si="67"/>
        <v>-379.14240000000001</v>
      </c>
      <c r="CG80" s="387">
        <f t="shared" si="68"/>
        <v>0</v>
      </c>
      <c r="CH80" s="387">
        <f t="shared" si="69"/>
        <v>0</v>
      </c>
      <c r="CI80" s="387">
        <f t="shared" si="70"/>
        <v>0</v>
      </c>
      <c r="CJ80" s="387">
        <f t="shared" si="83"/>
        <v>-379.14240000000001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0450-26</v>
      </c>
    </row>
    <row r="81" spans="1:92" ht="15.75" thickBot="1" x14ac:dyDescent="0.3">
      <c r="A81" s="376" t="s">
        <v>161</v>
      </c>
      <c r="B81" s="376" t="s">
        <v>162</v>
      </c>
      <c r="C81" s="376" t="s">
        <v>308</v>
      </c>
      <c r="D81" s="376" t="s">
        <v>309</v>
      </c>
      <c r="E81" s="376" t="s">
        <v>251</v>
      </c>
      <c r="F81" s="382" t="s">
        <v>407</v>
      </c>
      <c r="G81" s="376" t="s">
        <v>267</v>
      </c>
      <c r="H81" s="378"/>
      <c r="I81" s="378"/>
      <c r="J81" s="376" t="s">
        <v>242</v>
      </c>
      <c r="K81" s="376" t="s">
        <v>310</v>
      </c>
      <c r="L81" s="376" t="s">
        <v>166</v>
      </c>
      <c r="M81" s="376" t="s">
        <v>171</v>
      </c>
      <c r="N81" s="376" t="s">
        <v>198</v>
      </c>
      <c r="O81" s="379">
        <v>1</v>
      </c>
      <c r="P81" s="385">
        <v>0.5</v>
      </c>
      <c r="Q81" s="385">
        <v>0.5</v>
      </c>
      <c r="R81" s="380">
        <v>80</v>
      </c>
      <c r="S81" s="385">
        <v>0.5</v>
      </c>
      <c r="T81" s="380">
        <v>54653.2</v>
      </c>
      <c r="U81" s="380">
        <v>0</v>
      </c>
      <c r="V81" s="380">
        <v>16281.35</v>
      </c>
      <c r="W81" s="380">
        <v>56336.800000000003</v>
      </c>
      <c r="X81" s="380">
        <v>18326.68</v>
      </c>
      <c r="Y81" s="380">
        <v>56336.800000000003</v>
      </c>
      <c r="Z81" s="380">
        <v>18050.63</v>
      </c>
      <c r="AA81" s="376" t="s">
        <v>311</v>
      </c>
      <c r="AB81" s="376" t="s">
        <v>312</v>
      </c>
      <c r="AC81" s="376" t="s">
        <v>313</v>
      </c>
      <c r="AD81" s="376" t="s">
        <v>228</v>
      </c>
      <c r="AE81" s="376" t="s">
        <v>310</v>
      </c>
      <c r="AF81" s="376" t="s">
        <v>203</v>
      </c>
      <c r="AG81" s="376" t="s">
        <v>178</v>
      </c>
      <c r="AH81" s="381">
        <v>54.17</v>
      </c>
      <c r="AI81" s="381">
        <v>49584.4</v>
      </c>
      <c r="AJ81" s="376" t="s">
        <v>179</v>
      </c>
      <c r="AK81" s="376" t="s">
        <v>180</v>
      </c>
      <c r="AL81" s="376" t="s">
        <v>181</v>
      </c>
      <c r="AM81" s="376" t="s">
        <v>182</v>
      </c>
      <c r="AN81" s="376" t="s">
        <v>68</v>
      </c>
      <c r="AO81" s="379">
        <v>80</v>
      </c>
      <c r="AP81" s="385">
        <v>1</v>
      </c>
      <c r="AQ81" s="385">
        <v>0.5</v>
      </c>
      <c r="AR81" s="383" t="s">
        <v>183</v>
      </c>
      <c r="AS81" s="387">
        <f t="shared" si="71"/>
        <v>0.5</v>
      </c>
      <c r="AT81">
        <f t="shared" si="72"/>
        <v>1</v>
      </c>
      <c r="AU81" s="387">
        <f>IF(AT81=0,"",IF(AND(AT81=1,M81="F",SUMIF(C2:C206,C81,AS2:AS206)&lt;=1),SUMIF(C2:C206,C81,AS2:AS206),IF(AND(AT81=1,M81="F",SUMIF(C2:C206,C81,AS2:AS206)&gt;1),1,"")))</f>
        <v>1</v>
      </c>
      <c r="AV81" s="387" t="str">
        <f>IF(AT81=0,"",IF(AND(AT81=3,M81="F",SUMIF(C2:C206,C81,AS2:AS206)&lt;=1),SUMIF(C2:C206,C81,AS2:AS206),IF(AND(AT81=3,M81="F",SUMIF(C2:C206,C81,AS2:AS206)&gt;1),1,"")))</f>
        <v/>
      </c>
      <c r="AW81" s="387">
        <f>SUMIF(C2:C206,C81,O2:O206)</f>
        <v>2</v>
      </c>
      <c r="AX81" s="387">
        <f>IF(AND(M81="F",AS81&lt;&gt;0),SUMIF(C2:C206,C81,W2:W206),0)</f>
        <v>112673.60000000001</v>
      </c>
      <c r="AY81" s="387">
        <f t="shared" si="73"/>
        <v>56336.800000000003</v>
      </c>
      <c r="AZ81" s="387" t="str">
        <f t="shared" si="74"/>
        <v/>
      </c>
      <c r="BA81" s="387">
        <f t="shared" si="75"/>
        <v>0</v>
      </c>
      <c r="BB81" s="387">
        <f t="shared" si="44"/>
        <v>5825</v>
      </c>
      <c r="BC81" s="387">
        <f t="shared" si="45"/>
        <v>0</v>
      </c>
      <c r="BD81" s="387">
        <f t="shared" si="46"/>
        <v>3492.8816000000002</v>
      </c>
      <c r="BE81" s="387">
        <f t="shared" si="47"/>
        <v>816.88360000000011</v>
      </c>
      <c r="BF81" s="387">
        <f t="shared" si="48"/>
        <v>6726.6139200000007</v>
      </c>
      <c r="BG81" s="387">
        <f t="shared" si="49"/>
        <v>406.18832800000001</v>
      </c>
      <c r="BH81" s="387">
        <f t="shared" si="50"/>
        <v>276.05032</v>
      </c>
      <c r="BI81" s="387">
        <f t="shared" si="51"/>
        <v>0</v>
      </c>
      <c r="BJ81" s="387">
        <f t="shared" si="52"/>
        <v>783.08151999999995</v>
      </c>
      <c r="BK81" s="387">
        <f t="shared" si="53"/>
        <v>0</v>
      </c>
      <c r="BL81" s="387">
        <f t="shared" si="76"/>
        <v>12501.699288000002</v>
      </c>
      <c r="BM81" s="387">
        <f t="shared" si="77"/>
        <v>0</v>
      </c>
      <c r="BN81" s="387">
        <f t="shared" si="54"/>
        <v>5825</v>
      </c>
      <c r="BO81" s="387">
        <f t="shared" si="55"/>
        <v>0</v>
      </c>
      <c r="BP81" s="387">
        <f t="shared" si="56"/>
        <v>3492.8816000000002</v>
      </c>
      <c r="BQ81" s="387">
        <f t="shared" si="57"/>
        <v>816.88360000000011</v>
      </c>
      <c r="BR81" s="387">
        <f t="shared" si="58"/>
        <v>6726.6139200000007</v>
      </c>
      <c r="BS81" s="387">
        <f t="shared" si="59"/>
        <v>406.18832800000001</v>
      </c>
      <c r="BT81" s="387">
        <f t="shared" si="60"/>
        <v>0</v>
      </c>
      <c r="BU81" s="387">
        <f t="shared" si="61"/>
        <v>0</v>
      </c>
      <c r="BV81" s="387">
        <f t="shared" si="62"/>
        <v>783.08151999999995</v>
      </c>
      <c r="BW81" s="387">
        <f t="shared" si="63"/>
        <v>0</v>
      </c>
      <c r="BX81" s="387">
        <f t="shared" si="78"/>
        <v>12225.648968000001</v>
      </c>
      <c r="BY81" s="387">
        <f t="shared" si="79"/>
        <v>0</v>
      </c>
      <c r="BZ81" s="387">
        <f t="shared" si="80"/>
        <v>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0</v>
      </c>
      <c r="CE81" s="387">
        <f t="shared" si="66"/>
        <v>0</v>
      </c>
      <c r="CF81" s="387">
        <f t="shared" si="67"/>
        <v>-276.05032</v>
      </c>
      <c r="CG81" s="387">
        <f t="shared" si="68"/>
        <v>0</v>
      </c>
      <c r="CH81" s="387">
        <f t="shared" si="69"/>
        <v>0</v>
      </c>
      <c r="CI81" s="387">
        <f t="shared" si="70"/>
        <v>0</v>
      </c>
      <c r="CJ81" s="387">
        <f t="shared" si="83"/>
        <v>-276.05032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0450-26</v>
      </c>
    </row>
    <row r="82" spans="1:92" ht="15.75" thickBot="1" x14ac:dyDescent="0.3">
      <c r="A82" s="376" t="s">
        <v>161</v>
      </c>
      <c r="B82" s="376" t="s">
        <v>162</v>
      </c>
      <c r="C82" s="376" t="s">
        <v>487</v>
      </c>
      <c r="D82" s="376" t="s">
        <v>488</v>
      </c>
      <c r="E82" s="376" t="s">
        <v>251</v>
      </c>
      <c r="F82" s="382" t="s">
        <v>407</v>
      </c>
      <c r="G82" s="376" t="s">
        <v>267</v>
      </c>
      <c r="H82" s="378"/>
      <c r="I82" s="378"/>
      <c r="J82" s="376" t="s">
        <v>186</v>
      </c>
      <c r="K82" s="376" t="s">
        <v>489</v>
      </c>
      <c r="L82" s="376" t="s">
        <v>181</v>
      </c>
      <c r="M82" s="376" t="s">
        <v>171</v>
      </c>
      <c r="N82" s="376" t="s">
        <v>172</v>
      </c>
      <c r="O82" s="379">
        <v>1</v>
      </c>
      <c r="P82" s="385">
        <v>1</v>
      </c>
      <c r="Q82" s="385">
        <v>1</v>
      </c>
      <c r="R82" s="380">
        <v>80</v>
      </c>
      <c r="S82" s="385">
        <v>1</v>
      </c>
      <c r="T82" s="380">
        <v>86041.600000000006</v>
      </c>
      <c r="U82" s="380">
        <v>0</v>
      </c>
      <c r="V82" s="380">
        <v>29539.5</v>
      </c>
      <c r="W82" s="380">
        <v>88691.199999999997</v>
      </c>
      <c r="X82" s="380">
        <v>31602.82</v>
      </c>
      <c r="Y82" s="380">
        <v>88691.199999999997</v>
      </c>
      <c r="Z82" s="380">
        <v>31168.240000000002</v>
      </c>
      <c r="AA82" s="376" t="s">
        <v>490</v>
      </c>
      <c r="AB82" s="376" t="s">
        <v>491</v>
      </c>
      <c r="AC82" s="376" t="s">
        <v>492</v>
      </c>
      <c r="AD82" s="376" t="s">
        <v>404</v>
      </c>
      <c r="AE82" s="376" t="s">
        <v>489</v>
      </c>
      <c r="AF82" s="376" t="s">
        <v>307</v>
      </c>
      <c r="AG82" s="376" t="s">
        <v>178</v>
      </c>
      <c r="AH82" s="381">
        <v>42.64</v>
      </c>
      <c r="AI82" s="381">
        <v>64727.9</v>
      </c>
      <c r="AJ82" s="376" t="s">
        <v>179</v>
      </c>
      <c r="AK82" s="376" t="s">
        <v>180</v>
      </c>
      <c r="AL82" s="376" t="s">
        <v>181</v>
      </c>
      <c r="AM82" s="376" t="s">
        <v>182</v>
      </c>
      <c r="AN82" s="376" t="s">
        <v>68</v>
      </c>
      <c r="AO82" s="379">
        <v>80</v>
      </c>
      <c r="AP82" s="385">
        <v>1</v>
      </c>
      <c r="AQ82" s="385">
        <v>1</v>
      </c>
      <c r="AR82" s="383" t="s">
        <v>183</v>
      </c>
      <c r="AS82" s="387">
        <f t="shared" si="71"/>
        <v>1</v>
      </c>
      <c r="AT82">
        <f t="shared" si="72"/>
        <v>1</v>
      </c>
      <c r="AU82" s="387">
        <f>IF(AT82=0,"",IF(AND(AT82=1,M82="F",SUMIF(C2:C206,C82,AS2:AS206)&lt;=1),SUMIF(C2:C206,C82,AS2:AS206),IF(AND(AT82=1,M82="F",SUMIF(C2:C206,C82,AS2:AS206)&gt;1),1,"")))</f>
        <v>1</v>
      </c>
      <c r="AV82" s="387" t="str">
        <f>IF(AT82=0,"",IF(AND(AT82=3,M82="F",SUMIF(C2:C206,C82,AS2:AS206)&lt;=1),SUMIF(C2:C206,C82,AS2:AS206),IF(AND(AT82=3,M82="F",SUMIF(C2:C206,C82,AS2:AS206)&gt;1),1,"")))</f>
        <v/>
      </c>
      <c r="AW82" s="387">
        <f>SUMIF(C2:C206,C82,O2:O206)</f>
        <v>1</v>
      </c>
      <c r="AX82" s="387">
        <f>IF(AND(M82="F",AS82&lt;&gt;0),SUMIF(C2:C206,C82,W2:W206),0)</f>
        <v>88691.199999999997</v>
      </c>
      <c r="AY82" s="387">
        <f t="shared" si="73"/>
        <v>88691.199999999997</v>
      </c>
      <c r="AZ82" s="387" t="str">
        <f t="shared" si="74"/>
        <v/>
      </c>
      <c r="BA82" s="387">
        <f t="shared" si="75"/>
        <v>0</v>
      </c>
      <c r="BB82" s="387">
        <f t="shared" si="44"/>
        <v>11650</v>
      </c>
      <c r="BC82" s="387">
        <f t="shared" si="45"/>
        <v>0</v>
      </c>
      <c r="BD82" s="387">
        <f t="shared" si="46"/>
        <v>5498.8544000000002</v>
      </c>
      <c r="BE82" s="387">
        <f t="shared" si="47"/>
        <v>1286.0224000000001</v>
      </c>
      <c r="BF82" s="387">
        <f t="shared" si="48"/>
        <v>10589.72928</v>
      </c>
      <c r="BG82" s="387">
        <f t="shared" si="49"/>
        <v>639.46355200000005</v>
      </c>
      <c r="BH82" s="387">
        <f t="shared" si="50"/>
        <v>434.58687999999995</v>
      </c>
      <c r="BI82" s="387">
        <f t="shared" si="51"/>
        <v>271.39507199999997</v>
      </c>
      <c r="BJ82" s="387">
        <f t="shared" si="52"/>
        <v>1232.8076799999999</v>
      </c>
      <c r="BK82" s="387">
        <f t="shared" si="53"/>
        <v>0</v>
      </c>
      <c r="BL82" s="387">
        <f t="shared" si="76"/>
        <v>19952.859263999999</v>
      </c>
      <c r="BM82" s="387">
        <f t="shared" si="77"/>
        <v>0</v>
      </c>
      <c r="BN82" s="387">
        <f t="shared" si="54"/>
        <v>11650</v>
      </c>
      <c r="BO82" s="387">
        <f t="shared" si="55"/>
        <v>0</v>
      </c>
      <c r="BP82" s="387">
        <f t="shared" si="56"/>
        <v>5498.8544000000002</v>
      </c>
      <c r="BQ82" s="387">
        <f t="shared" si="57"/>
        <v>1286.0224000000001</v>
      </c>
      <c r="BR82" s="387">
        <f t="shared" si="58"/>
        <v>10589.72928</v>
      </c>
      <c r="BS82" s="387">
        <f t="shared" si="59"/>
        <v>639.46355200000005</v>
      </c>
      <c r="BT82" s="387">
        <f t="shared" si="60"/>
        <v>0</v>
      </c>
      <c r="BU82" s="387">
        <f t="shared" si="61"/>
        <v>271.39507199999997</v>
      </c>
      <c r="BV82" s="387">
        <f t="shared" si="62"/>
        <v>1232.8076799999999</v>
      </c>
      <c r="BW82" s="387">
        <f t="shared" si="63"/>
        <v>0</v>
      </c>
      <c r="BX82" s="387">
        <f t="shared" si="78"/>
        <v>19518.272383999996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-434.58687999999995</v>
      </c>
      <c r="CG82" s="387">
        <f t="shared" si="68"/>
        <v>0</v>
      </c>
      <c r="CH82" s="387">
        <f t="shared" si="69"/>
        <v>0</v>
      </c>
      <c r="CI82" s="387">
        <f t="shared" si="70"/>
        <v>0</v>
      </c>
      <c r="CJ82" s="387">
        <f t="shared" si="83"/>
        <v>-434.58687999999995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0450-26</v>
      </c>
    </row>
    <row r="83" spans="1:92" ht="15.75" thickBot="1" x14ac:dyDescent="0.3">
      <c r="A83" s="376" t="s">
        <v>161</v>
      </c>
      <c r="B83" s="376" t="s">
        <v>162</v>
      </c>
      <c r="C83" s="376" t="s">
        <v>319</v>
      </c>
      <c r="D83" s="376" t="s">
        <v>320</v>
      </c>
      <c r="E83" s="376" t="s">
        <v>251</v>
      </c>
      <c r="F83" s="382" t="s">
        <v>407</v>
      </c>
      <c r="G83" s="376" t="s">
        <v>267</v>
      </c>
      <c r="H83" s="378"/>
      <c r="I83" s="378"/>
      <c r="J83" s="376" t="s">
        <v>242</v>
      </c>
      <c r="K83" s="376" t="s">
        <v>321</v>
      </c>
      <c r="L83" s="376" t="s">
        <v>170</v>
      </c>
      <c r="M83" s="376" t="s">
        <v>171</v>
      </c>
      <c r="N83" s="376" t="s">
        <v>172</v>
      </c>
      <c r="O83" s="379">
        <v>1</v>
      </c>
      <c r="P83" s="385">
        <v>0.2</v>
      </c>
      <c r="Q83" s="385">
        <v>0.2</v>
      </c>
      <c r="R83" s="380">
        <v>80</v>
      </c>
      <c r="S83" s="385">
        <v>0.2</v>
      </c>
      <c r="T83" s="380">
        <v>7022.37</v>
      </c>
      <c r="U83" s="380">
        <v>0</v>
      </c>
      <c r="V83" s="380">
        <v>3096.56</v>
      </c>
      <c r="W83" s="380">
        <v>10499.84</v>
      </c>
      <c r="X83" s="380">
        <v>4692.1400000000003</v>
      </c>
      <c r="Y83" s="380">
        <v>10499.84</v>
      </c>
      <c r="Z83" s="380">
        <v>4640.6899999999996</v>
      </c>
      <c r="AA83" s="376" t="s">
        <v>322</v>
      </c>
      <c r="AB83" s="376" t="s">
        <v>323</v>
      </c>
      <c r="AC83" s="376" t="s">
        <v>324</v>
      </c>
      <c r="AD83" s="376" t="s">
        <v>306</v>
      </c>
      <c r="AE83" s="376" t="s">
        <v>321</v>
      </c>
      <c r="AF83" s="376" t="s">
        <v>177</v>
      </c>
      <c r="AG83" s="376" t="s">
        <v>178</v>
      </c>
      <c r="AH83" s="381">
        <v>25.24</v>
      </c>
      <c r="AI83" s="381">
        <v>3049.5</v>
      </c>
      <c r="AJ83" s="376" t="s">
        <v>179</v>
      </c>
      <c r="AK83" s="376" t="s">
        <v>180</v>
      </c>
      <c r="AL83" s="376" t="s">
        <v>181</v>
      </c>
      <c r="AM83" s="376" t="s">
        <v>182</v>
      </c>
      <c r="AN83" s="376" t="s">
        <v>68</v>
      </c>
      <c r="AO83" s="379">
        <v>80</v>
      </c>
      <c r="AP83" s="385">
        <v>1</v>
      </c>
      <c r="AQ83" s="385">
        <v>0.2</v>
      </c>
      <c r="AR83" s="383" t="s">
        <v>183</v>
      </c>
      <c r="AS83" s="387">
        <f t="shared" si="71"/>
        <v>0.2</v>
      </c>
      <c r="AT83">
        <f t="shared" si="72"/>
        <v>1</v>
      </c>
      <c r="AU83" s="387">
        <f>IF(AT83=0,"",IF(AND(AT83=1,M83="F",SUMIF(C2:C206,C83,AS2:AS206)&lt;=1),SUMIF(C2:C206,C83,AS2:AS206),IF(AND(AT83=1,M83="F",SUMIF(C2:C206,C83,AS2:AS206)&gt;1),1,"")))</f>
        <v>1</v>
      </c>
      <c r="AV83" s="387" t="str">
        <f>IF(AT83=0,"",IF(AND(AT83=3,M83="F",SUMIF(C2:C206,C83,AS2:AS206)&lt;=1),SUMIF(C2:C206,C83,AS2:AS206),IF(AND(AT83=3,M83="F",SUMIF(C2:C206,C83,AS2:AS206)&gt;1),1,"")))</f>
        <v/>
      </c>
      <c r="AW83" s="387">
        <f>SUMIF(C2:C206,C83,O2:O206)</f>
        <v>2</v>
      </c>
      <c r="AX83" s="387">
        <f>IF(AND(M83="F",AS83&lt;&gt;0),SUMIF(C2:C206,C83,W2:W206),0)</f>
        <v>52499.199999999997</v>
      </c>
      <c r="AY83" s="387">
        <f t="shared" si="73"/>
        <v>10499.84</v>
      </c>
      <c r="AZ83" s="387" t="str">
        <f t="shared" si="74"/>
        <v/>
      </c>
      <c r="BA83" s="387">
        <f t="shared" si="75"/>
        <v>0</v>
      </c>
      <c r="BB83" s="387">
        <f t="shared" si="44"/>
        <v>2330</v>
      </c>
      <c r="BC83" s="387">
        <f t="shared" si="45"/>
        <v>0</v>
      </c>
      <c r="BD83" s="387">
        <f t="shared" si="46"/>
        <v>650.99008000000003</v>
      </c>
      <c r="BE83" s="387">
        <f t="shared" si="47"/>
        <v>152.24768</v>
      </c>
      <c r="BF83" s="387">
        <f t="shared" si="48"/>
        <v>1253.6808960000001</v>
      </c>
      <c r="BG83" s="387">
        <f t="shared" si="49"/>
        <v>75.703846400000003</v>
      </c>
      <c r="BH83" s="387">
        <f t="shared" si="50"/>
        <v>51.449216</v>
      </c>
      <c r="BI83" s="387">
        <f t="shared" si="51"/>
        <v>32.129510400000001</v>
      </c>
      <c r="BJ83" s="387">
        <f t="shared" si="52"/>
        <v>145.947776</v>
      </c>
      <c r="BK83" s="387">
        <f t="shared" si="53"/>
        <v>0</v>
      </c>
      <c r="BL83" s="387">
        <f t="shared" si="76"/>
        <v>2362.1490048000001</v>
      </c>
      <c r="BM83" s="387">
        <f t="shared" si="77"/>
        <v>0</v>
      </c>
      <c r="BN83" s="387">
        <f t="shared" si="54"/>
        <v>2330</v>
      </c>
      <c r="BO83" s="387">
        <f t="shared" si="55"/>
        <v>0</v>
      </c>
      <c r="BP83" s="387">
        <f t="shared" si="56"/>
        <v>650.99008000000003</v>
      </c>
      <c r="BQ83" s="387">
        <f t="shared" si="57"/>
        <v>152.24768</v>
      </c>
      <c r="BR83" s="387">
        <f t="shared" si="58"/>
        <v>1253.6808960000001</v>
      </c>
      <c r="BS83" s="387">
        <f t="shared" si="59"/>
        <v>75.703846400000003</v>
      </c>
      <c r="BT83" s="387">
        <f t="shared" si="60"/>
        <v>0</v>
      </c>
      <c r="BU83" s="387">
        <f t="shared" si="61"/>
        <v>32.129510400000001</v>
      </c>
      <c r="BV83" s="387">
        <f t="shared" si="62"/>
        <v>145.947776</v>
      </c>
      <c r="BW83" s="387">
        <f t="shared" si="63"/>
        <v>0</v>
      </c>
      <c r="BX83" s="387">
        <f t="shared" si="78"/>
        <v>2310.6997888000001</v>
      </c>
      <c r="BY83" s="387">
        <f t="shared" si="79"/>
        <v>0</v>
      </c>
      <c r="BZ83" s="387">
        <f t="shared" si="80"/>
        <v>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0</v>
      </c>
      <c r="CE83" s="387">
        <f t="shared" si="66"/>
        <v>0</v>
      </c>
      <c r="CF83" s="387">
        <f t="shared" si="67"/>
        <v>-51.449216</v>
      </c>
      <c r="CG83" s="387">
        <f t="shared" si="68"/>
        <v>0</v>
      </c>
      <c r="CH83" s="387">
        <f t="shared" si="69"/>
        <v>0</v>
      </c>
      <c r="CI83" s="387">
        <f t="shared" si="70"/>
        <v>0</v>
      </c>
      <c r="CJ83" s="387">
        <f t="shared" si="83"/>
        <v>-51.449216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0450-26</v>
      </c>
    </row>
    <row r="84" spans="1:92" ht="15.75" thickBot="1" x14ac:dyDescent="0.3">
      <c r="A84" s="376" t="s">
        <v>161</v>
      </c>
      <c r="B84" s="376" t="s">
        <v>162</v>
      </c>
      <c r="C84" s="376" t="s">
        <v>493</v>
      </c>
      <c r="D84" s="376" t="s">
        <v>406</v>
      </c>
      <c r="E84" s="376" t="s">
        <v>251</v>
      </c>
      <c r="F84" s="382" t="s">
        <v>407</v>
      </c>
      <c r="G84" s="376" t="s">
        <v>267</v>
      </c>
      <c r="H84" s="378"/>
      <c r="I84" s="378"/>
      <c r="J84" s="376" t="s">
        <v>186</v>
      </c>
      <c r="K84" s="376" t="s">
        <v>408</v>
      </c>
      <c r="L84" s="376" t="s">
        <v>269</v>
      </c>
      <c r="M84" s="376" t="s">
        <v>171</v>
      </c>
      <c r="N84" s="376" t="s">
        <v>172</v>
      </c>
      <c r="O84" s="379">
        <v>1</v>
      </c>
      <c r="P84" s="385">
        <v>1</v>
      </c>
      <c r="Q84" s="385">
        <v>1</v>
      </c>
      <c r="R84" s="380">
        <v>80</v>
      </c>
      <c r="S84" s="385">
        <v>1</v>
      </c>
      <c r="T84" s="380">
        <v>46537.760000000002</v>
      </c>
      <c r="U84" s="380">
        <v>1705.7</v>
      </c>
      <c r="V84" s="380">
        <v>22846.05</v>
      </c>
      <c r="W84" s="380">
        <v>48880</v>
      </c>
      <c r="X84" s="380">
        <v>22646.52</v>
      </c>
      <c r="Y84" s="380">
        <v>48880</v>
      </c>
      <c r="Z84" s="380">
        <v>22407.01</v>
      </c>
      <c r="AA84" s="376" t="s">
        <v>494</v>
      </c>
      <c r="AB84" s="376" t="s">
        <v>495</v>
      </c>
      <c r="AC84" s="376" t="s">
        <v>298</v>
      </c>
      <c r="AD84" s="376" t="s">
        <v>496</v>
      </c>
      <c r="AE84" s="376" t="s">
        <v>408</v>
      </c>
      <c r="AF84" s="376" t="s">
        <v>274</v>
      </c>
      <c r="AG84" s="376" t="s">
        <v>178</v>
      </c>
      <c r="AH84" s="381">
        <v>23.5</v>
      </c>
      <c r="AI84" s="381">
        <v>16620.7</v>
      </c>
      <c r="AJ84" s="376" t="s">
        <v>179</v>
      </c>
      <c r="AK84" s="376" t="s">
        <v>180</v>
      </c>
      <c r="AL84" s="376" t="s">
        <v>181</v>
      </c>
      <c r="AM84" s="376" t="s">
        <v>182</v>
      </c>
      <c r="AN84" s="376" t="s">
        <v>68</v>
      </c>
      <c r="AO84" s="379">
        <v>80</v>
      </c>
      <c r="AP84" s="385">
        <v>1</v>
      </c>
      <c r="AQ84" s="385">
        <v>1</v>
      </c>
      <c r="AR84" s="383" t="s">
        <v>183</v>
      </c>
      <c r="AS84" s="387">
        <f t="shared" si="71"/>
        <v>1</v>
      </c>
      <c r="AT84">
        <f t="shared" si="72"/>
        <v>1</v>
      </c>
      <c r="AU84" s="387">
        <f>IF(AT84=0,"",IF(AND(AT84=1,M84="F",SUMIF(C2:C206,C84,AS2:AS206)&lt;=1),SUMIF(C2:C206,C84,AS2:AS206),IF(AND(AT84=1,M84="F",SUMIF(C2:C206,C84,AS2:AS206)&gt;1),1,"")))</f>
        <v>1</v>
      </c>
      <c r="AV84" s="387" t="str">
        <f>IF(AT84=0,"",IF(AND(AT84=3,M84="F",SUMIF(C2:C206,C84,AS2:AS206)&lt;=1),SUMIF(C2:C206,C84,AS2:AS206),IF(AND(AT84=3,M84="F",SUMIF(C2:C206,C84,AS2:AS206)&gt;1),1,"")))</f>
        <v/>
      </c>
      <c r="AW84" s="387">
        <f>SUMIF(C2:C206,C84,O2:O206)</f>
        <v>1</v>
      </c>
      <c r="AX84" s="387">
        <f>IF(AND(M84="F",AS84&lt;&gt;0),SUMIF(C2:C206,C84,W2:W206),0)</f>
        <v>48880</v>
      </c>
      <c r="AY84" s="387">
        <f t="shared" si="73"/>
        <v>48880</v>
      </c>
      <c r="AZ84" s="387" t="str">
        <f t="shared" si="74"/>
        <v/>
      </c>
      <c r="BA84" s="387">
        <f t="shared" si="75"/>
        <v>0</v>
      </c>
      <c r="BB84" s="387">
        <f t="shared" si="44"/>
        <v>11650</v>
      </c>
      <c r="BC84" s="387">
        <f t="shared" si="45"/>
        <v>0</v>
      </c>
      <c r="BD84" s="387">
        <f t="shared" si="46"/>
        <v>3030.56</v>
      </c>
      <c r="BE84" s="387">
        <f t="shared" si="47"/>
        <v>708.76</v>
      </c>
      <c r="BF84" s="387">
        <f t="shared" si="48"/>
        <v>5836.2719999999999</v>
      </c>
      <c r="BG84" s="387">
        <f t="shared" si="49"/>
        <v>352.4248</v>
      </c>
      <c r="BH84" s="387">
        <f t="shared" si="50"/>
        <v>239.512</v>
      </c>
      <c r="BI84" s="387">
        <f t="shared" si="51"/>
        <v>149.5728</v>
      </c>
      <c r="BJ84" s="387">
        <f t="shared" si="52"/>
        <v>679.4319999999999</v>
      </c>
      <c r="BK84" s="387">
        <f t="shared" si="53"/>
        <v>0</v>
      </c>
      <c r="BL84" s="387">
        <f t="shared" si="76"/>
        <v>10996.533600000002</v>
      </c>
      <c r="BM84" s="387">
        <f t="shared" si="77"/>
        <v>0</v>
      </c>
      <c r="BN84" s="387">
        <f t="shared" si="54"/>
        <v>11650</v>
      </c>
      <c r="BO84" s="387">
        <f t="shared" si="55"/>
        <v>0</v>
      </c>
      <c r="BP84" s="387">
        <f t="shared" si="56"/>
        <v>3030.56</v>
      </c>
      <c r="BQ84" s="387">
        <f t="shared" si="57"/>
        <v>708.76</v>
      </c>
      <c r="BR84" s="387">
        <f t="shared" si="58"/>
        <v>5836.2719999999999</v>
      </c>
      <c r="BS84" s="387">
        <f t="shared" si="59"/>
        <v>352.4248</v>
      </c>
      <c r="BT84" s="387">
        <f t="shared" si="60"/>
        <v>0</v>
      </c>
      <c r="BU84" s="387">
        <f t="shared" si="61"/>
        <v>149.5728</v>
      </c>
      <c r="BV84" s="387">
        <f t="shared" si="62"/>
        <v>679.4319999999999</v>
      </c>
      <c r="BW84" s="387">
        <f t="shared" si="63"/>
        <v>0</v>
      </c>
      <c r="BX84" s="387">
        <f t="shared" si="78"/>
        <v>10757.021600000002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-239.512</v>
      </c>
      <c r="CG84" s="387">
        <f t="shared" si="68"/>
        <v>0</v>
      </c>
      <c r="CH84" s="387">
        <f t="shared" si="69"/>
        <v>0</v>
      </c>
      <c r="CI84" s="387">
        <f t="shared" si="70"/>
        <v>0</v>
      </c>
      <c r="CJ84" s="387">
        <f t="shared" si="83"/>
        <v>-239.512</v>
      </c>
      <c r="CK84" s="387" t="str">
        <f t="shared" si="84"/>
        <v/>
      </c>
      <c r="CL84" s="387" t="str">
        <f t="shared" si="85"/>
        <v/>
      </c>
      <c r="CM84" s="387" t="str">
        <f t="shared" si="86"/>
        <v/>
      </c>
      <c r="CN84" s="387" t="str">
        <f t="shared" si="87"/>
        <v>0450-26</v>
      </c>
    </row>
    <row r="85" spans="1:92" ht="15.75" thickBot="1" x14ac:dyDescent="0.3">
      <c r="A85" s="376" t="s">
        <v>161</v>
      </c>
      <c r="B85" s="376" t="s">
        <v>162</v>
      </c>
      <c r="C85" s="376" t="s">
        <v>329</v>
      </c>
      <c r="D85" s="376" t="s">
        <v>254</v>
      </c>
      <c r="E85" s="376" t="s">
        <v>251</v>
      </c>
      <c r="F85" s="382" t="s">
        <v>407</v>
      </c>
      <c r="G85" s="376" t="s">
        <v>267</v>
      </c>
      <c r="H85" s="378"/>
      <c r="I85" s="378"/>
      <c r="J85" s="376" t="s">
        <v>242</v>
      </c>
      <c r="K85" s="376" t="s">
        <v>255</v>
      </c>
      <c r="L85" s="376" t="s">
        <v>178</v>
      </c>
      <c r="M85" s="376" t="s">
        <v>207</v>
      </c>
      <c r="N85" s="376" t="s">
        <v>172</v>
      </c>
      <c r="O85" s="379">
        <v>0</v>
      </c>
      <c r="P85" s="385">
        <v>0.4</v>
      </c>
      <c r="Q85" s="385">
        <v>0.4</v>
      </c>
      <c r="R85" s="380">
        <v>80</v>
      </c>
      <c r="S85" s="385">
        <v>0.4</v>
      </c>
      <c r="T85" s="380">
        <v>6008.64</v>
      </c>
      <c r="U85" s="380">
        <v>0</v>
      </c>
      <c r="V85" s="380">
        <v>3191.56</v>
      </c>
      <c r="W85" s="380">
        <v>12837.76</v>
      </c>
      <c r="X85" s="380">
        <v>5622.93</v>
      </c>
      <c r="Y85" s="380">
        <v>12837.76</v>
      </c>
      <c r="Z85" s="380">
        <v>5558.74</v>
      </c>
      <c r="AA85" s="378"/>
      <c r="AB85" s="376" t="s">
        <v>45</v>
      </c>
      <c r="AC85" s="376" t="s">
        <v>45</v>
      </c>
      <c r="AD85" s="378"/>
      <c r="AE85" s="378"/>
      <c r="AF85" s="378"/>
      <c r="AG85" s="378"/>
      <c r="AH85" s="379">
        <v>0</v>
      </c>
      <c r="AI85" s="379">
        <v>0</v>
      </c>
      <c r="AJ85" s="378"/>
      <c r="AK85" s="378"/>
      <c r="AL85" s="376" t="s">
        <v>181</v>
      </c>
      <c r="AM85" s="378"/>
      <c r="AN85" s="378"/>
      <c r="AO85" s="379">
        <v>0</v>
      </c>
      <c r="AP85" s="385">
        <v>0</v>
      </c>
      <c r="AQ85" s="385">
        <v>0</v>
      </c>
      <c r="AR85" s="384"/>
      <c r="AS85" s="387">
        <f t="shared" si="71"/>
        <v>0</v>
      </c>
      <c r="AT85">
        <f t="shared" si="72"/>
        <v>0</v>
      </c>
      <c r="AU85" s="387" t="str">
        <f>IF(AT85=0,"",IF(AND(AT85=1,M85="F",SUMIF(C2:C206,C85,AS2:AS206)&lt;=1),SUMIF(C2:C206,C85,AS2:AS206),IF(AND(AT85=1,M85="F",SUMIF(C2:C206,C85,AS2:AS206)&gt;1),1,"")))</f>
        <v/>
      </c>
      <c r="AV85" s="387" t="str">
        <f>IF(AT85=0,"",IF(AND(AT85=3,M85="F",SUMIF(C2:C206,C85,AS2:AS206)&lt;=1),SUMIF(C2:C206,C85,AS2:AS206),IF(AND(AT85=3,M85="F",SUMIF(C2:C206,C85,AS2:AS206)&gt;1),1,"")))</f>
        <v/>
      </c>
      <c r="AW85" s="387">
        <f>SUMIF(C2:C206,C85,O2:O206)</f>
        <v>0</v>
      </c>
      <c r="AX85" s="387">
        <f>IF(AND(M85="F",AS85&lt;&gt;0),SUMIF(C2:C206,C85,W2:W206),0)</f>
        <v>0</v>
      </c>
      <c r="AY85" s="387" t="str">
        <f t="shared" si="73"/>
        <v/>
      </c>
      <c r="AZ85" s="387" t="str">
        <f t="shared" si="74"/>
        <v/>
      </c>
      <c r="BA85" s="387">
        <f t="shared" si="75"/>
        <v>0</v>
      </c>
      <c r="BB85" s="387">
        <f t="shared" si="44"/>
        <v>0</v>
      </c>
      <c r="BC85" s="387">
        <f t="shared" si="45"/>
        <v>0</v>
      </c>
      <c r="BD85" s="387">
        <f t="shared" si="46"/>
        <v>0</v>
      </c>
      <c r="BE85" s="387">
        <f t="shared" si="47"/>
        <v>0</v>
      </c>
      <c r="BF85" s="387">
        <f t="shared" si="48"/>
        <v>0</v>
      </c>
      <c r="BG85" s="387">
        <f t="shared" si="49"/>
        <v>0</v>
      </c>
      <c r="BH85" s="387">
        <f t="shared" si="50"/>
        <v>0</v>
      </c>
      <c r="BI85" s="387">
        <f t="shared" si="51"/>
        <v>0</v>
      </c>
      <c r="BJ85" s="387">
        <f t="shared" si="52"/>
        <v>0</v>
      </c>
      <c r="BK85" s="387">
        <f t="shared" si="53"/>
        <v>0</v>
      </c>
      <c r="BL85" s="387">
        <f t="shared" si="76"/>
        <v>0</v>
      </c>
      <c r="BM85" s="387">
        <f t="shared" si="77"/>
        <v>0</v>
      </c>
      <c r="BN85" s="387">
        <f t="shared" si="54"/>
        <v>0</v>
      </c>
      <c r="BO85" s="387">
        <f t="shared" si="55"/>
        <v>0</v>
      </c>
      <c r="BP85" s="387">
        <f t="shared" si="56"/>
        <v>0</v>
      </c>
      <c r="BQ85" s="387">
        <f t="shared" si="57"/>
        <v>0</v>
      </c>
      <c r="BR85" s="387">
        <f t="shared" si="58"/>
        <v>0</v>
      </c>
      <c r="BS85" s="387">
        <f t="shared" si="59"/>
        <v>0</v>
      </c>
      <c r="BT85" s="387">
        <f t="shared" si="60"/>
        <v>0</v>
      </c>
      <c r="BU85" s="387">
        <f t="shared" si="61"/>
        <v>0</v>
      </c>
      <c r="BV85" s="387">
        <f t="shared" si="62"/>
        <v>0</v>
      </c>
      <c r="BW85" s="387">
        <f t="shared" si="63"/>
        <v>0</v>
      </c>
      <c r="BX85" s="387">
        <f t="shared" si="78"/>
        <v>0</v>
      </c>
      <c r="BY85" s="387">
        <f t="shared" si="79"/>
        <v>0</v>
      </c>
      <c r="BZ85" s="387">
        <f t="shared" si="80"/>
        <v>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0</v>
      </c>
      <c r="CE85" s="387">
        <f t="shared" si="66"/>
        <v>0</v>
      </c>
      <c r="CF85" s="387">
        <f t="shared" si="67"/>
        <v>0</v>
      </c>
      <c r="CG85" s="387">
        <f t="shared" si="68"/>
        <v>0</v>
      </c>
      <c r="CH85" s="387">
        <f t="shared" si="69"/>
        <v>0</v>
      </c>
      <c r="CI85" s="387">
        <f t="shared" si="70"/>
        <v>0</v>
      </c>
      <c r="CJ85" s="387">
        <f t="shared" si="83"/>
        <v>0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0450-26</v>
      </c>
    </row>
    <row r="86" spans="1:92" ht="15.75" thickBot="1" x14ac:dyDescent="0.3">
      <c r="A86" s="376" t="s">
        <v>161</v>
      </c>
      <c r="B86" s="376" t="s">
        <v>162</v>
      </c>
      <c r="C86" s="376" t="s">
        <v>497</v>
      </c>
      <c r="D86" s="376" t="s">
        <v>482</v>
      </c>
      <c r="E86" s="376" t="s">
        <v>251</v>
      </c>
      <c r="F86" s="382" t="s">
        <v>407</v>
      </c>
      <c r="G86" s="376" t="s">
        <v>267</v>
      </c>
      <c r="H86" s="378"/>
      <c r="I86" s="378"/>
      <c r="J86" s="376" t="s">
        <v>186</v>
      </c>
      <c r="K86" s="376" t="s">
        <v>483</v>
      </c>
      <c r="L86" s="376" t="s">
        <v>283</v>
      </c>
      <c r="M86" s="376" t="s">
        <v>171</v>
      </c>
      <c r="N86" s="376" t="s">
        <v>172</v>
      </c>
      <c r="O86" s="379">
        <v>1</v>
      </c>
      <c r="P86" s="385">
        <v>1</v>
      </c>
      <c r="Q86" s="385">
        <v>1</v>
      </c>
      <c r="R86" s="380">
        <v>80</v>
      </c>
      <c r="S86" s="385">
        <v>1</v>
      </c>
      <c r="T86" s="380">
        <v>68240.81</v>
      </c>
      <c r="U86" s="380">
        <v>0</v>
      </c>
      <c r="V86" s="380">
        <v>25645.13</v>
      </c>
      <c r="W86" s="380">
        <v>68577.600000000006</v>
      </c>
      <c r="X86" s="380">
        <v>27077.87</v>
      </c>
      <c r="Y86" s="380">
        <v>68577.600000000006</v>
      </c>
      <c r="Z86" s="380">
        <v>26741.84</v>
      </c>
      <c r="AA86" s="376" t="s">
        <v>498</v>
      </c>
      <c r="AB86" s="376" t="s">
        <v>499</v>
      </c>
      <c r="AC86" s="376" t="s">
        <v>317</v>
      </c>
      <c r="AD86" s="376" t="s">
        <v>500</v>
      </c>
      <c r="AE86" s="376" t="s">
        <v>483</v>
      </c>
      <c r="AF86" s="376" t="s">
        <v>288</v>
      </c>
      <c r="AG86" s="376" t="s">
        <v>178</v>
      </c>
      <c r="AH86" s="381">
        <v>32.97</v>
      </c>
      <c r="AI86" s="381">
        <v>42106.2</v>
      </c>
      <c r="AJ86" s="376" t="s">
        <v>179</v>
      </c>
      <c r="AK86" s="376" t="s">
        <v>180</v>
      </c>
      <c r="AL86" s="376" t="s">
        <v>181</v>
      </c>
      <c r="AM86" s="376" t="s">
        <v>182</v>
      </c>
      <c r="AN86" s="376" t="s">
        <v>68</v>
      </c>
      <c r="AO86" s="379">
        <v>80</v>
      </c>
      <c r="AP86" s="385">
        <v>1</v>
      </c>
      <c r="AQ86" s="385">
        <v>1</v>
      </c>
      <c r="AR86" s="383" t="s">
        <v>183</v>
      </c>
      <c r="AS86" s="387">
        <f t="shared" si="71"/>
        <v>1</v>
      </c>
      <c r="AT86">
        <f t="shared" si="72"/>
        <v>1</v>
      </c>
      <c r="AU86" s="387">
        <f>IF(AT86=0,"",IF(AND(AT86=1,M86="F",SUMIF(C2:C206,C86,AS2:AS206)&lt;=1),SUMIF(C2:C206,C86,AS2:AS206),IF(AND(AT86=1,M86="F",SUMIF(C2:C206,C86,AS2:AS206)&gt;1),1,"")))</f>
        <v>1</v>
      </c>
      <c r="AV86" s="387" t="str">
        <f>IF(AT86=0,"",IF(AND(AT86=3,M86="F",SUMIF(C2:C206,C86,AS2:AS206)&lt;=1),SUMIF(C2:C206,C86,AS2:AS206),IF(AND(AT86=3,M86="F",SUMIF(C2:C206,C86,AS2:AS206)&gt;1),1,"")))</f>
        <v/>
      </c>
      <c r="AW86" s="387">
        <f>SUMIF(C2:C206,C86,O2:O206)</f>
        <v>1</v>
      </c>
      <c r="AX86" s="387">
        <f>IF(AND(M86="F",AS86&lt;&gt;0),SUMIF(C2:C206,C86,W2:W206),0)</f>
        <v>68577.600000000006</v>
      </c>
      <c r="AY86" s="387">
        <f t="shared" si="73"/>
        <v>68577.600000000006</v>
      </c>
      <c r="AZ86" s="387" t="str">
        <f t="shared" si="74"/>
        <v/>
      </c>
      <c r="BA86" s="387">
        <f t="shared" si="75"/>
        <v>0</v>
      </c>
      <c r="BB86" s="387">
        <f t="shared" si="44"/>
        <v>11650</v>
      </c>
      <c r="BC86" s="387">
        <f t="shared" si="45"/>
        <v>0</v>
      </c>
      <c r="BD86" s="387">
        <f t="shared" si="46"/>
        <v>4251.8112000000001</v>
      </c>
      <c r="BE86" s="387">
        <f t="shared" si="47"/>
        <v>994.37520000000018</v>
      </c>
      <c r="BF86" s="387">
        <f t="shared" si="48"/>
        <v>8188.1654400000007</v>
      </c>
      <c r="BG86" s="387">
        <f t="shared" si="49"/>
        <v>494.44449600000007</v>
      </c>
      <c r="BH86" s="387">
        <f t="shared" si="50"/>
        <v>336.03023999999999</v>
      </c>
      <c r="BI86" s="387">
        <f t="shared" si="51"/>
        <v>209.84745599999999</v>
      </c>
      <c r="BJ86" s="387">
        <f t="shared" si="52"/>
        <v>953.22864000000004</v>
      </c>
      <c r="BK86" s="387">
        <f t="shared" si="53"/>
        <v>0</v>
      </c>
      <c r="BL86" s="387">
        <f t="shared" si="76"/>
        <v>15427.902672</v>
      </c>
      <c r="BM86" s="387">
        <f t="shared" si="77"/>
        <v>0</v>
      </c>
      <c r="BN86" s="387">
        <f t="shared" si="54"/>
        <v>11650</v>
      </c>
      <c r="BO86" s="387">
        <f t="shared" si="55"/>
        <v>0</v>
      </c>
      <c r="BP86" s="387">
        <f t="shared" si="56"/>
        <v>4251.8112000000001</v>
      </c>
      <c r="BQ86" s="387">
        <f t="shared" si="57"/>
        <v>994.37520000000018</v>
      </c>
      <c r="BR86" s="387">
        <f t="shared" si="58"/>
        <v>8188.1654400000007</v>
      </c>
      <c r="BS86" s="387">
        <f t="shared" si="59"/>
        <v>494.44449600000007</v>
      </c>
      <c r="BT86" s="387">
        <f t="shared" si="60"/>
        <v>0</v>
      </c>
      <c r="BU86" s="387">
        <f t="shared" si="61"/>
        <v>209.84745599999999</v>
      </c>
      <c r="BV86" s="387">
        <f t="shared" si="62"/>
        <v>953.22864000000004</v>
      </c>
      <c r="BW86" s="387">
        <f t="shared" si="63"/>
        <v>0</v>
      </c>
      <c r="BX86" s="387">
        <f t="shared" si="78"/>
        <v>15091.872432</v>
      </c>
      <c r="BY86" s="387">
        <f t="shared" si="79"/>
        <v>0</v>
      </c>
      <c r="BZ86" s="387">
        <f t="shared" si="80"/>
        <v>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0</v>
      </c>
      <c r="CE86" s="387">
        <f t="shared" si="66"/>
        <v>0</v>
      </c>
      <c r="CF86" s="387">
        <f t="shared" si="67"/>
        <v>-336.03023999999999</v>
      </c>
      <c r="CG86" s="387">
        <f t="shared" si="68"/>
        <v>0</v>
      </c>
      <c r="CH86" s="387">
        <f t="shared" si="69"/>
        <v>0</v>
      </c>
      <c r="CI86" s="387">
        <f t="shared" si="70"/>
        <v>0</v>
      </c>
      <c r="CJ86" s="387">
        <f t="shared" si="83"/>
        <v>-336.03023999999999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0450-26</v>
      </c>
    </row>
    <row r="87" spans="1:92" ht="15.75" thickBot="1" x14ac:dyDescent="0.3">
      <c r="A87" s="376" t="s">
        <v>161</v>
      </c>
      <c r="B87" s="376" t="s">
        <v>162</v>
      </c>
      <c r="C87" s="376" t="s">
        <v>501</v>
      </c>
      <c r="D87" s="376" t="s">
        <v>502</v>
      </c>
      <c r="E87" s="376" t="s">
        <v>251</v>
      </c>
      <c r="F87" s="382" t="s">
        <v>407</v>
      </c>
      <c r="G87" s="376" t="s">
        <v>267</v>
      </c>
      <c r="H87" s="378"/>
      <c r="I87" s="378"/>
      <c r="J87" s="376" t="s">
        <v>186</v>
      </c>
      <c r="K87" s="376" t="s">
        <v>503</v>
      </c>
      <c r="L87" s="376" t="s">
        <v>283</v>
      </c>
      <c r="M87" s="376" t="s">
        <v>171</v>
      </c>
      <c r="N87" s="376" t="s">
        <v>172</v>
      </c>
      <c r="O87" s="379">
        <v>1</v>
      </c>
      <c r="P87" s="385">
        <v>1</v>
      </c>
      <c r="Q87" s="385">
        <v>1</v>
      </c>
      <c r="R87" s="380">
        <v>80</v>
      </c>
      <c r="S87" s="385">
        <v>1</v>
      </c>
      <c r="T87" s="380">
        <v>60642.720000000001</v>
      </c>
      <c r="U87" s="380">
        <v>0</v>
      </c>
      <c r="V87" s="380">
        <v>20886.14</v>
      </c>
      <c r="W87" s="380">
        <v>64022.400000000001</v>
      </c>
      <c r="X87" s="380">
        <v>26053.08</v>
      </c>
      <c r="Y87" s="380">
        <v>64022.400000000001</v>
      </c>
      <c r="Z87" s="380">
        <v>25739.38</v>
      </c>
      <c r="AA87" s="376" t="s">
        <v>504</v>
      </c>
      <c r="AB87" s="376" t="s">
        <v>505</v>
      </c>
      <c r="AC87" s="376" t="s">
        <v>506</v>
      </c>
      <c r="AD87" s="376" t="s">
        <v>269</v>
      </c>
      <c r="AE87" s="376" t="s">
        <v>503</v>
      </c>
      <c r="AF87" s="376" t="s">
        <v>288</v>
      </c>
      <c r="AG87" s="376" t="s">
        <v>178</v>
      </c>
      <c r="AH87" s="381">
        <v>30.78</v>
      </c>
      <c r="AI87" s="379">
        <v>1360</v>
      </c>
      <c r="AJ87" s="376" t="s">
        <v>179</v>
      </c>
      <c r="AK87" s="376" t="s">
        <v>180</v>
      </c>
      <c r="AL87" s="376" t="s">
        <v>181</v>
      </c>
      <c r="AM87" s="376" t="s">
        <v>182</v>
      </c>
      <c r="AN87" s="376" t="s">
        <v>68</v>
      </c>
      <c r="AO87" s="379">
        <v>80</v>
      </c>
      <c r="AP87" s="385">
        <v>1</v>
      </c>
      <c r="AQ87" s="385">
        <v>1</v>
      </c>
      <c r="AR87" s="383" t="s">
        <v>183</v>
      </c>
      <c r="AS87" s="387">
        <f t="shared" si="71"/>
        <v>1</v>
      </c>
      <c r="AT87">
        <f t="shared" si="72"/>
        <v>1</v>
      </c>
      <c r="AU87" s="387">
        <f>IF(AT87=0,"",IF(AND(AT87=1,M87="F",SUMIF(C2:C206,C87,AS2:AS206)&lt;=1),SUMIF(C2:C206,C87,AS2:AS206),IF(AND(AT87=1,M87="F",SUMIF(C2:C206,C87,AS2:AS206)&gt;1),1,"")))</f>
        <v>1</v>
      </c>
      <c r="AV87" s="387" t="str">
        <f>IF(AT87=0,"",IF(AND(AT87=3,M87="F",SUMIF(C2:C206,C87,AS2:AS206)&lt;=1),SUMIF(C2:C206,C87,AS2:AS206),IF(AND(AT87=3,M87="F",SUMIF(C2:C206,C87,AS2:AS206)&gt;1),1,"")))</f>
        <v/>
      </c>
      <c r="AW87" s="387">
        <f>SUMIF(C2:C206,C87,O2:O206)</f>
        <v>1</v>
      </c>
      <c r="AX87" s="387">
        <f>IF(AND(M87="F",AS87&lt;&gt;0),SUMIF(C2:C206,C87,W2:W206),0)</f>
        <v>64022.400000000001</v>
      </c>
      <c r="AY87" s="387">
        <f t="shared" si="73"/>
        <v>64022.400000000001</v>
      </c>
      <c r="AZ87" s="387" t="str">
        <f t="shared" si="74"/>
        <v/>
      </c>
      <c r="BA87" s="387">
        <f t="shared" si="75"/>
        <v>0</v>
      </c>
      <c r="BB87" s="387">
        <f t="shared" si="44"/>
        <v>11650</v>
      </c>
      <c r="BC87" s="387">
        <f t="shared" si="45"/>
        <v>0</v>
      </c>
      <c r="BD87" s="387">
        <f t="shared" si="46"/>
        <v>3969.3888000000002</v>
      </c>
      <c r="BE87" s="387">
        <f t="shared" si="47"/>
        <v>928.3248000000001</v>
      </c>
      <c r="BF87" s="387">
        <f t="shared" si="48"/>
        <v>7644.2745600000007</v>
      </c>
      <c r="BG87" s="387">
        <f t="shared" si="49"/>
        <v>461.60150400000003</v>
      </c>
      <c r="BH87" s="387">
        <f t="shared" si="50"/>
        <v>313.70976000000002</v>
      </c>
      <c r="BI87" s="387">
        <f t="shared" si="51"/>
        <v>195.90854399999998</v>
      </c>
      <c r="BJ87" s="387">
        <f t="shared" si="52"/>
        <v>889.91135999999995</v>
      </c>
      <c r="BK87" s="387">
        <f t="shared" si="53"/>
        <v>0</v>
      </c>
      <c r="BL87" s="387">
        <f t="shared" si="76"/>
        <v>14403.119328000001</v>
      </c>
      <c r="BM87" s="387">
        <f t="shared" si="77"/>
        <v>0</v>
      </c>
      <c r="BN87" s="387">
        <f t="shared" si="54"/>
        <v>11650</v>
      </c>
      <c r="BO87" s="387">
        <f t="shared" si="55"/>
        <v>0</v>
      </c>
      <c r="BP87" s="387">
        <f t="shared" si="56"/>
        <v>3969.3888000000002</v>
      </c>
      <c r="BQ87" s="387">
        <f t="shared" si="57"/>
        <v>928.3248000000001</v>
      </c>
      <c r="BR87" s="387">
        <f t="shared" si="58"/>
        <v>7644.2745600000007</v>
      </c>
      <c r="BS87" s="387">
        <f t="shared" si="59"/>
        <v>461.60150400000003</v>
      </c>
      <c r="BT87" s="387">
        <f t="shared" si="60"/>
        <v>0</v>
      </c>
      <c r="BU87" s="387">
        <f t="shared" si="61"/>
        <v>195.90854399999998</v>
      </c>
      <c r="BV87" s="387">
        <f t="shared" si="62"/>
        <v>889.91135999999995</v>
      </c>
      <c r="BW87" s="387">
        <f t="shared" si="63"/>
        <v>0</v>
      </c>
      <c r="BX87" s="387">
        <f t="shared" si="78"/>
        <v>14089.409568000001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-313.70976000000002</v>
      </c>
      <c r="CG87" s="387">
        <f t="shared" si="68"/>
        <v>0</v>
      </c>
      <c r="CH87" s="387">
        <f t="shared" si="69"/>
        <v>0</v>
      </c>
      <c r="CI87" s="387">
        <f t="shared" si="70"/>
        <v>0</v>
      </c>
      <c r="CJ87" s="387">
        <f t="shared" si="83"/>
        <v>-313.70976000000002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0450-26</v>
      </c>
    </row>
    <row r="88" spans="1:92" ht="15.75" thickBot="1" x14ac:dyDescent="0.3">
      <c r="A88" s="376" t="s">
        <v>161</v>
      </c>
      <c r="B88" s="376" t="s">
        <v>162</v>
      </c>
      <c r="C88" s="376" t="s">
        <v>507</v>
      </c>
      <c r="D88" s="376" t="s">
        <v>508</v>
      </c>
      <c r="E88" s="376" t="s">
        <v>251</v>
      </c>
      <c r="F88" s="382" t="s">
        <v>407</v>
      </c>
      <c r="G88" s="376" t="s">
        <v>267</v>
      </c>
      <c r="H88" s="378"/>
      <c r="I88" s="378"/>
      <c r="J88" s="376" t="s">
        <v>186</v>
      </c>
      <c r="K88" s="376" t="s">
        <v>509</v>
      </c>
      <c r="L88" s="376" t="s">
        <v>269</v>
      </c>
      <c r="M88" s="376" t="s">
        <v>207</v>
      </c>
      <c r="N88" s="376" t="s">
        <v>172</v>
      </c>
      <c r="O88" s="379">
        <v>0</v>
      </c>
      <c r="P88" s="385">
        <v>1</v>
      </c>
      <c r="Q88" s="385">
        <v>1</v>
      </c>
      <c r="R88" s="380">
        <v>80</v>
      </c>
      <c r="S88" s="385">
        <v>1</v>
      </c>
      <c r="T88" s="380">
        <v>43748.42</v>
      </c>
      <c r="U88" s="380">
        <v>0</v>
      </c>
      <c r="V88" s="380">
        <v>19770.150000000001</v>
      </c>
      <c r="W88" s="380">
        <v>42328</v>
      </c>
      <c r="X88" s="380">
        <v>18539.66</v>
      </c>
      <c r="Y88" s="380">
        <v>42328</v>
      </c>
      <c r="Z88" s="380">
        <v>18328.02</v>
      </c>
      <c r="AA88" s="378"/>
      <c r="AB88" s="376" t="s">
        <v>45</v>
      </c>
      <c r="AC88" s="376" t="s">
        <v>45</v>
      </c>
      <c r="AD88" s="378"/>
      <c r="AE88" s="378"/>
      <c r="AF88" s="378"/>
      <c r="AG88" s="378"/>
      <c r="AH88" s="379">
        <v>0</v>
      </c>
      <c r="AI88" s="379">
        <v>0</v>
      </c>
      <c r="AJ88" s="378"/>
      <c r="AK88" s="378"/>
      <c r="AL88" s="376" t="s">
        <v>181</v>
      </c>
      <c r="AM88" s="378"/>
      <c r="AN88" s="378"/>
      <c r="AO88" s="379">
        <v>0</v>
      </c>
      <c r="AP88" s="385">
        <v>0</v>
      </c>
      <c r="AQ88" s="385">
        <v>0</v>
      </c>
      <c r="AR88" s="384"/>
      <c r="AS88" s="387">
        <f t="shared" si="71"/>
        <v>0</v>
      </c>
      <c r="AT88">
        <f t="shared" si="72"/>
        <v>0</v>
      </c>
      <c r="AU88" s="387" t="str">
        <f>IF(AT88=0,"",IF(AND(AT88=1,M88="F",SUMIF(C2:C206,C88,AS2:AS206)&lt;=1),SUMIF(C2:C206,C88,AS2:AS206),IF(AND(AT88=1,M88="F",SUMIF(C2:C206,C88,AS2:AS206)&gt;1),1,"")))</f>
        <v/>
      </c>
      <c r="AV88" s="387" t="str">
        <f>IF(AT88=0,"",IF(AND(AT88=3,M88="F",SUMIF(C2:C206,C88,AS2:AS206)&lt;=1),SUMIF(C2:C206,C88,AS2:AS206),IF(AND(AT88=3,M88="F",SUMIF(C2:C206,C88,AS2:AS206)&gt;1),1,"")))</f>
        <v/>
      </c>
      <c r="AW88" s="387">
        <f>SUMIF(C2:C206,C88,O2:O206)</f>
        <v>0</v>
      </c>
      <c r="AX88" s="387">
        <f>IF(AND(M88="F",AS88&lt;&gt;0),SUMIF(C2:C206,C88,W2:W206),0)</f>
        <v>0</v>
      </c>
      <c r="AY88" s="387" t="str">
        <f t="shared" si="73"/>
        <v/>
      </c>
      <c r="AZ88" s="387" t="str">
        <f t="shared" si="74"/>
        <v/>
      </c>
      <c r="BA88" s="387">
        <f t="shared" si="75"/>
        <v>0</v>
      </c>
      <c r="BB88" s="387">
        <f t="shared" si="44"/>
        <v>0</v>
      </c>
      <c r="BC88" s="387">
        <f t="shared" si="45"/>
        <v>0</v>
      </c>
      <c r="BD88" s="387">
        <f t="shared" si="46"/>
        <v>0</v>
      </c>
      <c r="BE88" s="387">
        <f t="shared" si="47"/>
        <v>0</v>
      </c>
      <c r="BF88" s="387">
        <f t="shared" si="48"/>
        <v>0</v>
      </c>
      <c r="BG88" s="387">
        <f t="shared" si="49"/>
        <v>0</v>
      </c>
      <c r="BH88" s="387">
        <f t="shared" si="50"/>
        <v>0</v>
      </c>
      <c r="BI88" s="387">
        <f t="shared" si="51"/>
        <v>0</v>
      </c>
      <c r="BJ88" s="387">
        <f t="shared" si="52"/>
        <v>0</v>
      </c>
      <c r="BK88" s="387">
        <f t="shared" si="53"/>
        <v>0</v>
      </c>
      <c r="BL88" s="387">
        <f t="shared" si="76"/>
        <v>0</v>
      </c>
      <c r="BM88" s="387">
        <f t="shared" si="77"/>
        <v>0</v>
      </c>
      <c r="BN88" s="387">
        <f t="shared" si="54"/>
        <v>0</v>
      </c>
      <c r="BO88" s="387">
        <f t="shared" si="55"/>
        <v>0</v>
      </c>
      <c r="BP88" s="387">
        <f t="shared" si="56"/>
        <v>0</v>
      </c>
      <c r="BQ88" s="387">
        <f t="shared" si="57"/>
        <v>0</v>
      </c>
      <c r="BR88" s="387">
        <f t="shared" si="58"/>
        <v>0</v>
      </c>
      <c r="BS88" s="387">
        <f t="shared" si="59"/>
        <v>0</v>
      </c>
      <c r="BT88" s="387">
        <f t="shared" si="60"/>
        <v>0</v>
      </c>
      <c r="BU88" s="387">
        <f t="shared" si="61"/>
        <v>0</v>
      </c>
      <c r="BV88" s="387">
        <f t="shared" si="62"/>
        <v>0</v>
      </c>
      <c r="BW88" s="387">
        <f t="shared" si="63"/>
        <v>0</v>
      </c>
      <c r="BX88" s="387">
        <f t="shared" si="78"/>
        <v>0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0</v>
      </c>
      <c r="CG88" s="387">
        <f t="shared" si="68"/>
        <v>0</v>
      </c>
      <c r="CH88" s="387">
        <f t="shared" si="69"/>
        <v>0</v>
      </c>
      <c r="CI88" s="387">
        <f t="shared" si="70"/>
        <v>0</v>
      </c>
      <c r="CJ88" s="387">
        <f t="shared" si="83"/>
        <v>0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0450-26</v>
      </c>
    </row>
    <row r="89" spans="1:92" ht="15.75" thickBot="1" x14ac:dyDescent="0.3">
      <c r="A89" s="376" t="s">
        <v>161</v>
      </c>
      <c r="B89" s="376" t="s">
        <v>162</v>
      </c>
      <c r="C89" s="376" t="s">
        <v>510</v>
      </c>
      <c r="D89" s="376" t="s">
        <v>511</v>
      </c>
      <c r="E89" s="376" t="s">
        <v>251</v>
      </c>
      <c r="F89" s="382" t="s">
        <v>407</v>
      </c>
      <c r="G89" s="376" t="s">
        <v>267</v>
      </c>
      <c r="H89" s="378"/>
      <c r="I89" s="378"/>
      <c r="J89" s="376" t="s">
        <v>186</v>
      </c>
      <c r="K89" s="376" t="s">
        <v>512</v>
      </c>
      <c r="L89" s="376" t="s">
        <v>269</v>
      </c>
      <c r="M89" s="376" t="s">
        <v>171</v>
      </c>
      <c r="N89" s="376" t="s">
        <v>172</v>
      </c>
      <c r="O89" s="379">
        <v>1</v>
      </c>
      <c r="P89" s="385">
        <v>1</v>
      </c>
      <c r="Q89" s="385">
        <v>1</v>
      </c>
      <c r="R89" s="380">
        <v>80</v>
      </c>
      <c r="S89" s="385">
        <v>1</v>
      </c>
      <c r="T89" s="380">
        <v>44461.440000000002</v>
      </c>
      <c r="U89" s="380">
        <v>0</v>
      </c>
      <c r="V89" s="380">
        <v>21831.82</v>
      </c>
      <c r="W89" s="380">
        <v>45780.800000000003</v>
      </c>
      <c r="X89" s="380">
        <v>21949.26</v>
      </c>
      <c r="Y89" s="380">
        <v>45780.800000000003</v>
      </c>
      <c r="Z89" s="380">
        <v>21724.94</v>
      </c>
      <c r="AA89" s="376" t="s">
        <v>513</v>
      </c>
      <c r="AB89" s="376" t="s">
        <v>514</v>
      </c>
      <c r="AC89" s="376" t="s">
        <v>515</v>
      </c>
      <c r="AD89" s="376" t="s">
        <v>516</v>
      </c>
      <c r="AE89" s="376" t="s">
        <v>512</v>
      </c>
      <c r="AF89" s="376" t="s">
        <v>274</v>
      </c>
      <c r="AG89" s="376" t="s">
        <v>178</v>
      </c>
      <c r="AH89" s="381">
        <v>22.01</v>
      </c>
      <c r="AI89" s="381">
        <v>9495.5</v>
      </c>
      <c r="AJ89" s="376" t="s">
        <v>179</v>
      </c>
      <c r="AK89" s="376" t="s">
        <v>180</v>
      </c>
      <c r="AL89" s="376" t="s">
        <v>181</v>
      </c>
      <c r="AM89" s="376" t="s">
        <v>182</v>
      </c>
      <c r="AN89" s="376" t="s">
        <v>68</v>
      </c>
      <c r="AO89" s="379">
        <v>80</v>
      </c>
      <c r="AP89" s="385">
        <v>1</v>
      </c>
      <c r="AQ89" s="385">
        <v>1</v>
      </c>
      <c r="AR89" s="383" t="s">
        <v>183</v>
      </c>
      <c r="AS89" s="387">
        <f t="shared" si="71"/>
        <v>1</v>
      </c>
      <c r="AT89">
        <f t="shared" si="72"/>
        <v>1</v>
      </c>
      <c r="AU89" s="387">
        <f>IF(AT89=0,"",IF(AND(AT89=1,M89="F",SUMIF(C2:C206,C89,AS2:AS206)&lt;=1),SUMIF(C2:C206,C89,AS2:AS206),IF(AND(AT89=1,M89="F",SUMIF(C2:C206,C89,AS2:AS206)&gt;1),1,"")))</f>
        <v>1</v>
      </c>
      <c r="AV89" s="387" t="str">
        <f>IF(AT89=0,"",IF(AND(AT89=3,M89="F",SUMIF(C2:C206,C89,AS2:AS206)&lt;=1),SUMIF(C2:C206,C89,AS2:AS206),IF(AND(AT89=3,M89="F",SUMIF(C2:C206,C89,AS2:AS206)&gt;1),1,"")))</f>
        <v/>
      </c>
      <c r="AW89" s="387">
        <f>SUMIF(C2:C206,C89,O2:O206)</f>
        <v>1</v>
      </c>
      <c r="AX89" s="387">
        <f>IF(AND(M89="F",AS89&lt;&gt;0),SUMIF(C2:C206,C89,W2:W206),0)</f>
        <v>45780.800000000003</v>
      </c>
      <c r="AY89" s="387">
        <f t="shared" si="73"/>
        <v>45780.800000000003</v>
      </c>
      <c r="AZ89" s="387" t="str">
        <f t="shared" si="74"/>
        <v/>
      </c>
      <c r="BA89" s="387">
        <f t="shared" si="75"/>
        <v>0</v>
      </c>
      <c r="BB89" s="387">
        <f t="shared" si="44"/>
        <v>11650</v>
      </c>
      <c r="BC89" s="387">
        <f t="shared" si="45"/>
        <v>0</v>
      </c>
      <c r="BD89" s="387">
        <f t="shared" si="46"/>
        <v>2838.4096</v>
      </c>
      <c r="BE89" s="387">
        <f t="shared" si="47"/>
        <v>663.8216000000001</v>
      </c>
      <c r="BF89" s="387">
        <f t="shared" si="48"/>
        <v>5466.2275200000004</v>
      </c>
      <c r="BG89" s="387">
        <f t="shared" si="49"/>
        <v>330.07956800000005</v>
      </c>
      <c r="BH89" s="387">
        <f t="shared" si="50"/>
        <v>224.32592</v>
      </c>
      <c r="BI89" s="387">
        <f t="shared" si="51"/>
        <v>140.089248</v>
      </c>
      <c r="BJ89" s="387">
        <f t="shared" si="52"/>
        <v>636.35311999999999</v>
      </c>
      <c r="BK89" s="387">
        <f t="shared" si="53"/>
        <v>0</v>
      </c>
      <c r="BL89" s="387">
        <f t="shared" si="76"/>
        <v>10299.306575999999</v>
      </c>
      <c r="BM89" s="387">
        <f t="shared" si="77"/>
        <v>0</v>
      </c>
      <c r="BN89" s="387">
        <f t="shared" si="54"/>
        <v>11650</v>
      </c>
      <c r="BO89" s="387">
        <f t="shared" si="55"/>
        <v>0</v>
      </c>
      <c r="BP89" s="387">
        <f t="shared" si="56"/>
        <v>2838.4096</v>
      </c>
      <c r="BQ89" s="387">
        <f t="shared" si="57"/>
        <v>663.8216000000001</v>
      </c>
      <c r="BR89" s="387">
        <f t="shared" si="58"/>
        <v>5466.2275200000004</v>
      </c>
      <c r="BS89" s="387">
        <f t="shared" si="59"/>
        <v>330.07956800000005</v>
      </c>
      <c r="BT89" s="387">
        <f t="shared" si="60"/>
        <v>0</v>
      </c>
      <c r="BU89" s="387">
        <f t="shared" si="61"/>
        <v>140.089248</v>
      </c>
      <c r="BV89" s="387">
        <f t="shared" si="62"/>
        <v>636.35311999999999</v>
      </c>
      <c r="BW89" s="387">
        <f t="shared" si="63"/>
        <v>0</v>
      </c>
      <c r="BX89" s="387">
        <f t="shared" si="78"/>
        <v>10074.980656</v>
      </c>
      <c r="BY89" s="387">
        <f t="shared" si="79"/>
        <v>0</v>
      </c>
      <c r="BZ89" s="387">
        <f t="shared" si="80"/>
        <v>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0</v>
      </c>
      <c r="CE89" s="387">
        <f t="shared" si="66"/>
        <v>0</v>
      </c>
      <c r="CF89" s="387">
        <f t="shared" si="67"/>
        <v>-224.32592</v>
      </c>
      <c r="CG89" s="387">
        <f t="shared" si="68"/>
        <v>0</v>
      </c>
      <c r="CH89" s="387">
        <f t="shared" si="69"/>
        <v>0</v>
      </c>
      <c r="CI89" s="387">
        <f t="shared" si="70"/>
        <v>0</v>
      </c>
      <c r="CJ89" s="387">
        <f t="shared" si="83"/>
        <v>-224.32592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0450-26</v>
      </c>
    </row>
    <row r="90" spans="1:92" ht="15.75" thickBot="1" x14ac:dyDescent="0.3">
      <c r="A90" s="376" t="s">
        <v>161</v>
      </c>
      <c r="B90" s="376" t="s">
        <v>162</v>
      </c>
      <c r="C90" s="376" t="s">
        <v>517</v>
      </c>
      <c r="D90" s="376" t="s">
        <v>406</v>
      </c>
      <c r="E90" s="376" t="s">
        <v>251</v>
      </c>
      <c r="F90" s="382" t="s">
        <v>407</v>
      </c>
      <c r="G90" s="376" t="s">
        <v>267</v>
      </c>
      <c r="H90" s="378"/>
      <c r="I90" s="378"/>
      <c r="J90" s="376" t="s">
        <v>186</v>
      </c>
      <c r="K90" s="376" t="s">
        <v>408</v>
      </c>
      <c r="L90" s="376" t="s">
        <v>269</v>
      </c>
      <c r="M90" s="376" t="s">
        <v>207</v>
      </c>
      <c r="N90" s="376" t="s">
        <v>172</v>
      </c>
      <c r="O90" s="379">
        <v>0</v>
      </c>
      <c r="P90" s="385">
        <v>1</v>
      </c>
      <c r="Q90" s="385">
        <v>1</v>
      </c>
      <c r="R90" s="380">
        <v>80</v>
      </c>
      <c r="S90" s="385">
        <v>1</v>
      </c>
      <c r="T90" s="380">
        <v>0</v>
      </c>
      <c r="U90" s="380">
        <v>0</v>
      </c>
      <c r="V90" s="380">
        <v>0</v>
      </c>
      <c r="W90" s="380">
        <v>42328</v>
      </c>
      <c r="X90" s="380">
        <v>18539.66</v>
      </c>
      <c r="Y90" s="380">
        <v>42328</v>
      </c>
      <c r="Z90" s="380">
        <v>18328.02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181</v>
      </c>
      <c r="AM90" s="378"/>
      <c r="AN90" s="378"/>
      <c r="AO90" s="379">
        <v>0</v>
      </c>
      <c r="AP90" s="385">
        <v>0</v>
      </c>
      <c r="AQ90" s="385">
        <v>0</v>
      </c>
      <c r="AR90" s="384"/>
      <c r="AS90" s="387">
        <f t="shared" si="71"/>
        <v>0</v>
      </c>
      <c r="AT90">
        <f t="shared" si="72"/>
        <v>0</v>
      </c>
      <c r="AU90" s="387" t="str">
        <f>IF(AT90=0,"",IF(AND(AT90=1,M90="F",SUMIF(C2:C206,C90,AS2:AS206)&lt;=1),SUMIF(C2:C206,C90,AS2:AS206),IF(AND(AT90=1,M90="F",SUMIF(C2:C206,C90,AS2:AS206)&gt;1),1,"")))</f>
        <v/>
      </c>
      <c r="AV90" s="387" t="str">
        <f>IF(AT90=0,"",IF(AND(AT90=3,M90="F",SUMIF(C2:C206,C90,AS2:AS206)&lt;=1),SUMIF(C2:C206,C90,AS2:AS206),IF(AND(AT90=3,M90="F",SUMIF(C2:C206,C90,AS2:AS206)&gt;1),1,"")))</f>
        <v/>
      </c>
      <c r="AW90" s="387">
        <f>SUMIF(C2:C206,C90,O2:O206)</f>
        <v>0</v>
      </c>
      <c r="AX90" s="387">
        <f>IF(AND(M90="F",AS90&lt;&gt;0),SUMIF(C2:C206,C90,W2:W206),0)</f>
        <v>0</v>
      </c>
      <c r="AY90" s="387" t="str">
        <f t="shared" si="73"/>
        <v/>
      </c>
      <c r="AZ90" s="387" t="str">
        <f t="shared" si="74"/>
        <v/>
      </c>
      <c r="BA90" s="387">
        <f t="shared" si="75"/>
        <v>0</v>
      </c>
      <c r="BB90" s="387">
        <f t="shared" si="44"/>
        <v>0</v>
      </c>
      <c r="BC90" s="387">
        <f t="shared" si="45"/>
        <v>0</v>
      </c>
      <c r="BD90" s="387">
        <f t="shared" si="46"/>
        <v>0</v>
      </c>
      <c r="BE90" s="387">
        <f t="shared" si="47"/>
        <v>0</v>
      </c>
      <c r="BF90" s="387">
        <f t="shared" si="48"/>
        <v>0</v>
      </c>
      <c r="BG90" s="387">
        <f t="shared" si="49"/>
        <v>0</v>
      </c>
      <c r="BH90" s="387">
        <f t="shared" si="50"/>
        <v>0</v>
      </c>
      <c r="BI90" s="387">
        <f t="shared" si="51"/>
        <v>0</v>
      </c>
      <c r="BJ90" s="387">
        <f t="shared" si="52"/>
        <v>0</v>
      </c>
      <c r="BK90" s="387">
        <f t="shared" si="53"/>
        <v>0</v>
      </c>
      <c r="BL90" s="387">
        <f t="shared" si="76"/>
        <v>0</v>
      </c>
      <c r="BM90" s="387">
        <f t="shared" si="77"/>
        <v>0</v>
      </c>
      <c r="BN90" s="387">
        <f t="shared" si="54"/>
        <v>0</v>
      </c>
      <c r="BO90" s="387">
        <f t="shared" si="55"/>
        <v>0</v>
      </c>
      <c r="BP90" s="387">
        <f t="shared" si="56"/>
        <v>0</v>
      </c>
      <c r="BQ90" s="387">
        <f t="shared" si="57"/>
        <v>0</v>
      </c>
      <c r="BR90" s="387">
        <f t="shared" si="58"/>
        <v>0</v>
      </c>
      <c r="BS90" s="387">
        <f t="shared" si="59"/>
        <v>0</v>
      </c>
      <c r="BT90" s="387">
        <f t="shared" si="60"/>
        <v>0</v>
      </c>
      <c r="BU90" s="387">
        <f t="shared" si="61"/>
        <v>0</v>
      </c>
      <c r="BV90" s="387">
        <f t="shared" si="62"/>
        <v>0</v>
      </c>
      <c r="BW90" s="387">
        <f t="shared" si="63"/>
        <v>0</v>
      </c>
      <c r="BX90" s="387">
        <f t="shared" si="78"/>
        <v>0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0</v>
      </c>
      <c r="CG90" s="387">
        <f t="shared" si="68"/>
        <v>0</v>
      </c>
      <c r="CH90" s="387">
        <f t="shared" si="69"/>
        <v>0</v>
      </c>
      <c r="CI90" s="387">
        <f t="shared" si="70"/>
        <v>0</v>
      </c>
      <c r="CJ90" s="387">
        <f t="shared" si="83"/>
        <v>0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0450-26</v>
      </c>
    </row>
    <row r="91" spans="1:92" ht="15.75" thickBot="1" x14ac:dyDescent="0.3">
      <c r="A91" s="376" t="s">
        <v>161</v>
      </c>
      <c r="B91" s="376" t="s">
        <v>162</v>
      </c>
      <c r="C91" s="376" t="s">
        <v>518</v>
      </c>
      <c r="D91" s="376" t="s">
        <v>511</v>
      </c>
      <c r="E91" s="376" t="s">
        <v>251</v>
      </c>
      <c r="F91" s="382" t="s">
        <v>407</v>
      </c>
      <c r="G91" s="376" t="s">
        <v>267</v>
      </c>
      <c r="H91" s="378"/>
      <c r="I91" s="378"/>
      <c r="J91" s="376" t="s">
        <v>186</v>
      </c>
      <c r="K91" s="376" t="s">
        <v>512</v>
      </c>
      <c r="L91" s="376" t="s">
        <v>269</v>
      </c>
      <c r="M91" s="376" t="s">
        <v>171</v>
      </c>
      <c r="N91" s="376" t="s">
        <v>172</v>
      </c>
      <c r="O91" s="379">
        <v>1</v>
      </c>
      <c r="P91" s="385">
        <v>1</v>
      </c>
      <c r="Q91" s="385">
        <v>1</v>
      </c>
      <c r="R91" s="380">
        <v>80</v>
      </c>
      <c r="S91" s="385">
        <v>1</v>
      </c>
      <c r="T91" s="380">
        <v>9382</v>
      </c>
      <c r="U91" s="380">
        <v>0</v>
      </c>
      <c r="V91" s="380">
        <v>4148.12</v>
      </c>
      <c r="W91" s="380">
        <v>41600</v>
      </c>
      <c r="X91" s="380">
        <v>21008.74</v>
      </c>
      <c r="Y91" s="380">
        <v>41600</v>
      </c>
      <c r="Z91" s="380">
        <v>20804.900000000001</v>
      </c>
      <c r="AA91" s="376" t="s">
        <v>519</v>
      </c>
      <c r="AB91" s="376" t="s">
        <v>520</v>
      </c>
      <c r="AC91" s="376" t="s">
        <v>506</v>
      </c>
      <c r="AD91" s="376" t="s">
        <v>521</v>
      </c>
      <c r="AE91" s="376" t="s">
        <v>512</v>
      </c>
      <c r="AF91" s="376" t="s">
        <v>274</v>
      </c>
      <c r="AG91" s="376" t="s">
        <v>178</v>
      </c>
      <c r="AH91" s="379">
        <v>20</v>
      </c>
      <c r="AI91" s="381">
        <v>3757.2</v>
      </c>
      <c r="AJ91" s="376" t="s">
        <v>179</v>
      </c>
      <c r="AK91" s="376" t="s">
        <v>180</v>
      </c>
      <c r="AL91" s="376" t="s">
        <v>181</v>
      </c>
      <c r="AM91" s="376" t="s">
        <v>182</v>
      </c>
      <c r="AN91" s="376" t="s">
        <v>68</v>
      </c>
      <c r="AO91" s="379">
        <v>80</v>
      </c>
      <c r="AP91" s="385">
        <v>1</v>
      </c>
      <c r="AQ91" s="385">
        <v>1</v>
      </c>
      <c r="AR91" s="383" t="s">
        <v>183</v>
      </c>
      <c r="AS91" s="387">
        <f t="shared" si="71"/>
        <v>1</v>
      </c>
      <c r="AT91">
        <f t="shared" si="72"/>
        <v>1</v>
      </c>
      <c r="AU91" s="387">
        <f>IF(AT91=0,"",IF(AND(AT91=1,M91="F",SUMIF(C2:C206,C91,AS2:AS206)&lt;=1),SUMIF(C2:C206,C91,AS2:AS206),IF(AND(AT91=1,M91="F",SUMIF(C2:C206,C91,AS2:AS206)&gt;1),1,"")))</f>
        <v>1</v>
      </c>
      <c r="AV91" s="387" t="str">
        <f>IF(AT91=0,"",IF(AND(AT91=3,M91="F",SUMIF(C2:C206,C91,AS2:AS206)&lt;=1),SUMIF(C2:C206,C91,AS2:AS206),IF(AND(AT91=3,M91="F",SUMIF(C2:C206,C91,AS2:AS206)&gt;1),1,"")))</f>
        <v/>
      </c>
      <c r="AW91" s="387">
        <f>SUMIF(C2:C206,C91,O2:O206)</f>
        <v>1</v>
      </c>
      <c r="AX91" s="387">
        <f>IF(AND(M91="F",AS91&lt;&gt;0),SUMIF(C2:C206,C91,W2:W206),0)</f>
        <v>41600</v>
      </c>
      <c r="AY91" s="387">
        <f t="shared" si="73"/>
        <v>41600</v>
      </c>
      <c r="AZ91" s="387" t="str">
        <f t="shared" si="74"/>
        <v/>
      </c>
      <c r="BA91" s="387">
        <f t="shared" si="75"/>
        <v>0</v>
      </c>
      <c r="BB91" s="387">
        <f t="shared" si="44"/>
        <v>11650</v>
      </c>
      <c r="BC91" s="387">
        <f t="shared" si="45"/>
        <v>0</v>
      </c>
      <c r="BD91" s="387">
        <f t="shared" si="46"/>
        <v>2579.1999999999998</v>
      </c>
      <c r="BE91" s="387">
        <f t="shared" si="47"/>
        <v>603.20000000000005</v>
      </c>
      <c r="BF91" s="387">
        <f t="shared" si="48"/>
        <v>4967.04</v>
      </c>
      <c r="BG91" s="387">
        <f t="shared" si="49"/>
        <v>299.93600000000004</v>
      </c>
      <c r="BH91" s="387">
        <f t="shared" si="50"/>
        <v>203.84</v>
      </c>
      <c r="BI91" s="387">
        <f t="shared" si="51"/>
        <v>127.29599999999999</v>
      </c>
      <c r="BJ91" s="387">
        <f t="shared" si="52"/>
        <v>578.24</v>
      </c>
      <c r="BK91" s="387">
        <f t="shared" si="53"/>
        <v>0</v>
      </c>
      <c r="BL91" s="387">
        <f t="shared" si="76"/>
        <v>9358.7520000000004</v>
      </c>
      <c r="BM91" s="387">
        <f t="shared" si="77"/>
        <v>0</v>
      </c>
      <c r="BN91" s="387">
        <f t="shared" si="54"/>
        <v>11650</v>
      </c>
      <c r="BO91" s="387">
        <f t="shared" si="55"/>
        <v>0</v>
      </c>
      <c r="BP91" s="387">
        <f t="shared" si="56"/>
        <v>2579.1999999999998</v>
      </c>
      <c r="BQ91" s="387">
        <f t="shared" si="57"/>
        <v>603.20000000000005</v>
      </c>
      <c r="BR91" s="387">
        <f t="shared" si="58"/>
        <v>4967.04</v>
      </c>
      <c r="BS91" s="387">
        <f t="shared" si="59"/>
        <v>299.93600000000004</v>
      </c>
      <c r="BT91" s="387">
        <f t="shared" si="60"/>
        <v>0</v>
      </c>
      <c r="BU91" s="387">
        <f t="shared" si="61"/>
        <v>127.29599999999999</v>
      </c>
      <c r="BV91" s="387">
        <f t="shared" si="62"/>
        <v>578.24</v>
      </c>
      <c r="BW91" s="387">
        <f t="shared" si="63"/>
        <v>0</v>
      </c>
      <c r="BX91" s="387">
        <f t="shared" si="78"/>
        <v>9154.9120000000003</v>
      </c>
      <c r="BY91" s="387">
        <f t="shared" si="79"/>
        <v>0</v>
      </c>
      <c r="BZ91" s="387">
        <f t="shared" si="80"/>
        <v>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0</v>
      </c>
      <c r="CE91" s="387">
        <f t="shared" si="66"/>
        <v>0</v>
      </c>
      <c r="CF91" s="387">
        <f t="shared" si="67"/>
        <v>-203.84</v>
      </c>
      <c r="CG91" s="387">
        <f t="shared" si="68"/>
        <v>0</v>
      </c>
      <c r="CH91" s="387">
        <f t="shared" si="69"/>
        <v>0</v>
      </c>
      <c r="CI91" s="387">
        <f t="shared" si="70"/>
        <v>0</v>
      </c>
      <c r="CJ91" s="387">
        <f t="shared" si="83"/>
        <v>-203.84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0450-26</v>
      </c>
    </row>
    <row r="92" spans="1:92" ht="15.75" thickBot="1" x14ac:dyDescent="0.3">
      <c r="A92" s="376" t="s">
        <v>161</v>
      </c>
      <c r="B92" s="376" t="s">
        <v>162</v>
      </c>
      <c r="C92" s="376" t="s">
        <v>522</v>
      </c>
      <c r="D92" s="376" t="s">
        <v>205</v>
      </c>
      <c r="E92" s="376" t="s">
        <v>251</v>
      </c>
      <c r="F92" s="382" t="s">
        <v>407</v>
      </c>
      <c r="G92" s="376" t="s">
        <v>267</v>
      </c>
      <c r="H92" s="378"/>
      <c r="I92" s="378"/>
      <c r="J92" s="376" t="s">
        <v>186</v>
      </c>
      <c r="K92" s="376" t="s">
        <v>206</v>
      </c>
      <c r="L92" s="376" t="s">
        <v>166</v>
      </c>
      <c r="M92" s="376" t="s">
        <v>207</v>
      </c>
      <c r="N92" s="376" t="s">
        <v>208</v>
      </c>
      <c r="O92" s="379">
        <v>0</v>
      </c>
      <c r="P92" s="385">
        <v>1</v>
      </c>
      <c r="Q92" s="385">
        <v>0</v>
      </c>
      <c r="R92" s="380">
        <v>0</v>
      </c>
      <c r="S92" s="385">
        <v>0</v>
      </c>
      <c r="T92" s="380">
        <v>0</v>
      </c>
      <c r="U92" s="380">
        <v>0</v>
      </c>
      <c r="V92" s="380">
        <v>0</v>
      </c>
      <c r="W92" s="380">
        <v>0</v>
      </c>
      <c r="X92" s="380">
        <v>0</v>
      </c>
      <c r="Y92" s="380">
        <v>0</v>
      </c>
      <c r="Z92" s="380">
        <v>0</v>
      </c>
      <c r="AA92" s="378"/>
      <c r="AB92" s="376" t="s">
        <v>45</v>
      </c>
      <c r="AC92" s="376" t="s">
        <v>45</v>
      </c>
      <c r="AD92" s="378"/>
      <c r="AE92" s="378"/>
      <c r="AF92" s="378"/>
      <c r="AG92" s="378"/>
      <c r="AH92" s="379">
        <v>0</v>
      </c>
      <c r="AI92" s="379">
        <v>0</v>
      </c>
      <c r="AJ92" s="378"/>
      <c r="AK92" s="378"/>
      <c r="AL92" s="376" t="s">
        <v>181</v>
      </c>
      <c r="AM92" s="378"/>
      <c r="AN92" s="378"/>
      <c r="AO92" s="379">
        <v>0</v>
      </c>
      <c r="AP92" s="385">
        <v>0</v>
      </c>
      <c r="AQ92" s="385">
        <v>0</v>
      </c>
      <c r="AR92" s="384"/>
      <c r="AS92" s="387">
        <f t="shared" si="71"/>
        <v>0</v>
      </c>
      <c r="AT92">
        <f t="shared" si="72"/>
        <v>0</v>
      </c>
      <c r="AU92" s="387" t="str">
        <f>IF(AT92=0,"",IF(AND(AT92=1,M92="F",SUMIF(C2:C206,C92,AS2:AS206)&lt;=1),SUMIF(C2:C206,C92,AS2:AS206),IF(AND(AT92=1,M92="F",SUMIF(C2:C206,C92,AS2:AS206)&gt;1),1,"")))</f>
        <v/>
      </c>
      <c r="AV92" s="387" t="str">
        <f>IF(AT92=0,"",IF(AND(AT92=3,M92="F",SUMIF(C2:C206,C92,AS2:AS206)&lt;=1),SUMIF(C2:C206,C92,AS2:AS206),IF(AND(AT92=3,M92="F",SUMIF(C2:C206,C92,AS2:AS206)&gt;1),1,"")))</f>
        <v/>
      </c>
      <c r="AW92" s="387">
        <f>SUMIF(C2:C206,C92,O2:O206)</f>
        <v>0</v>
      </c>
      <c r="AX92" s="387">
        <f>IF(AND(M92="F",AS92&lt;&gt;0),SUMIF(C2:C206,C92,W2:W206),0)</f>
        <v>0</v>
      </c>
      <c r="AY92" s="387" t="str">
        <f t="shared" si="73"/>
        <v/>
      </c>
      <c r="AZ92" s="387" t="str">
        <f t="shared" si="74"/>
        <v/>
      </c>
      <c r="BA92" s="387">
        <f t="shared" si="75"/>
        <v>0</v>
      </c>
      <c r="BB92" s="387">
        <f t="shared" si="44"/>
        <v>0</v>
      </c>
      <c r="BC92" s="387">
        <f t="shared" si="45"/>
        <v>0</v>
      </c>
      <c r="BD92" s="387">
        <f t="shared" si="46"/>
        <v>0</v>
      </c>
      <c r="BE92" s="387">
        <f t="shared" si="47"/>
        <v>0</v>
      </c>
      <c r="BF92" s="387">
        <f t="shared" si="48"/>
        <v>0</v>
      </c>
      <c r="BG92" s="387">
        <f t="shared" si="49"/>
        <v>0</v>
      </c>
      <c r="BH92" s="387">
        <f t="shared" si="50"/>
        <v>0</v>
      </c>
      <c r="BI92" s="387">
        <f t="shared" si="51"/>
        <v>0</v>
      </c>
      <c r="BJ92" s="387">
        <f t="shared" si="52"/>
        <v>0</v>
      </c>
      <c r="BK92" s="387">
        <f t="shared" si="53"/>
        <v>0</v>
      </c>
      <c r="BL92" s="387">
        <f t="shared" si="76"/>
        <v>0</v>
      </c>
      <c r="BM92" s="387">
        <f t="shared" si="77"/>
        <v>0</v>
      </c>
      <c r="BN92" s="387">
        <f t="shared" si="54"/>
        <v>0</v>
      </c>
      <c r="BO92" s="387">
        <f t="shared" si="55"/>
        <v>0</v>
      </c>
      <c r="BP92" s="387">
        <f t="shared" si="56"/>
        <v>0</v>
      </c>
      <c r="BQ92" s="387">
        <f t="shared" si="57"/>
        <v>0</v>
      </c>
      <c r="BR92" s="387">
        <f t="shared" si="58"/>
        <v>0</v>
      </c>
      <c r="BS92" s="387">
        <f t="shared" si="59"/>
        <v>0</v>
      </c>
      <c r="BT92" s="387">
        <f t="shared" si="60"/>
        <v>0</v>
      </c>
      <c r="BU92" s="387">
        <f t="shared" si="61"/>
        <v>0</v>
      </c>
      <c r="BV92" s="387">
        <f t="shared" si="62"/>
        <v>0</v>
      </c>
      <c r="BW92" s="387">
        <f t="shared" si="63"/>
        <v>0</v>
      </c>
      <c r="BX92" s="387">
        <f t="shared" si="78"/>
        <v>0</v>
      </c>
      <c r="BY92" s="387">
        <f t="shared" si="79"/>
        <v>0</v>
      </c>
      <c r="BZ92" s="387">
        <f t="shared" si="80"/>
        <v>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0</v>
      </c>
      <c r="CE92" s="387">
        <f t="shared" si="66"/>
        <v>0</v>
      </c>
      <c r="CF92" s="387">
        <f t="shared" si="67"/>
        <v>0</v>
      </c>
      <c r="CG92" s="387">
        <f t="shared" si="68"/>
        <v>0</v>
      </c>
      <c r="CH92" s="387">
        <f t="shared" si="69"/>
        <v>0</v>
      </c>
      <c r="CI92" s="387">
        <f t="shared" si="70"/>
        <v>0</v>
      </c>
      <c r="CJ92" s="387">
        <f t="shared" si="83"/>
        <v>0</v>
      </c>
      <c r="CK92" s="387" t="str">
        <f t="shared" si="84"/>
        <v/>
      </c>
      <c r="CL92" s="387">
        <f t="shared" si="85"/>
        <v>0</v>
      </c>
      <c r="CM92" s="387">
        <f t="shared" si="86"/>
        <v>0</v>
      </c>
      <c r="CN92" s="387" t="str">
        <f t="shared" si="87"/>
        <v>0450-26</v>
      </c>
    </row>
    <row r="93" spans="1:92" ht="15.75" thickBot="1" x14ac:dyDescent="0.3">
      <c r="A93" s="376" t="s">
        <v>161</v>
      </c>
      <c r="B93" s="376" t="s">
        <v>162</v>
      </c>
      <c r="C93" s="376" t="s">
        <v>523</v>
      </c>
      <c r="D93" s="376" t="s">
        <v>524</v>
      </c>
      <c r="E93" s="376" t="s">
        <v>251</v>
      </c>
      <c r="F93" s="382" t="s">
        <v>407</v>
      </c>
      <c r="G93" s="376" t="s">
        <v>267</v>
      </c>
      <c r="H93" s="378"/>
      <c r="I93" s="378"/>
      <c r="J93" s="376" t="s">
        <v>186</v>
      </c>
      <c r="K93" s="376" t="s">
        <v>525</v>
      </c>
      <c r="L93" s="376" t="s">
        <v>526</v>
      </c>
      <c r="M93" s="376" t="s">
        <v>171</v>
      </c>
      <c r="N93" s="376" t="s">
        <v>172</v>
      </c>
      <c r="O93" s="379">
        <v>1</v>
      </c>
      <c r="P93" s="385">
        <v>1</v>
      </c>
      <c r="Q93" s="385">
        <v>1</v>
      </c>
      <c r="R93" s="380">
        <v>80</v>
      </c>
      <c r="S93" s="385">
        <v>1</v>
      </c>
      <c r="T93" s="380">
        <v>35137.769999999997</v>
      </c>
      <c r="U93" s="380">
        <v>642.29</v>
      </c>
      <c r="V93" s="380">
        <v>20259.439999999999</v>
      </c>
      <c r="W93" s="380">
        <v>35921.599999999999</v>
      </c>
      <c r="X93" s="380">
        <v>19731.25</v>
      </c>
      <c r="Y93" s="380">
        <v>35921.599999999999</v>
      </c>
      <c r="Z93" s="380">
        <v>19555.240000000002</v>
      </c>
      <c r="AA93" s="376" t="s">
        <v>527</v>
      </c>
      <c r="AB93" s="376" t="s">
        <v>528</v>
      </c>
      <c r="AC93" s="376" t="s">
        <v>269</v>
      </c>
      <c r="AD93" s="376" t="s">
        <v>269</v>
      </c>
      <c r="AE93" s="376" t="s">
        <v>525</v>
      </c>
      <c r="AF93" s="376" t="s">
        <v>529</v>
      </c>
      <c r="AG93" s="376" t="s">
        <v>178</v>
      </c>
      <c r="AH93" s="381">
        <v>17.27</v>
      </c>
      <c r="AI93" s="381">
        <v>16975.900000000001</v>
      </c>
      <c r="AJ93" s="376" t="s">
        <v>179</v>
      </c>
      <c r="AK93" s="376" t="s">
        <v>180</v>
      </c>
      <c r="AL93" s="376" t="s">
        <v>181</v>
      </c>
      <c r="AM93" s="376" t="s">
        <v>182</v>
      </c>
      <c r="AN93" s="376" t="s">
        <v>68</v>
      </c>
      <c r="AO93" s="379">
        <v>80</v>
      </c>
      <c r="AP93" s="385">
        <v>1</v>
      </c>
      <c r="AQ93" s="385">
        <v>1</v>
      </c>
      <c r="AR93" s="383" t="s">
        <v>183</v>
      </c>
      <c r="AS93" s="387">
        <f t="shared" si="71"/>
        <v>1</v>
      </c>
      <c r="AT93">
        <f t="shared" si="72"/>
        <v>1</v>
      </c>
      <c r="AU93" s="387">
        <f>IF(AT93=0,"",IF(AND(AT93=1,M93="F",SUMIF(C2:C206,C93,AS2:AS206)&lt;=1),SUMIF(C2:C206,C93,AS2:AS206),IF(AND(AT93=1,M93="F",SUMIF(C2:C206,C93,AS2:AS206)&gt;1),1,"")))</f>
        <v>1</v>
      </c>
      <c r="AV93" s="387" t="str">
        <f>IF(AT93=0,"",IF(AND(AT93=3,M93="F",SUMIF(C2:C206,C93,AS2:AS206)&lt;=1),SUMIF(C2:C206,C93,AS2:AS206),IF(AND(AT93=3,M93="F",SUMIF(C2:C206,C93,AS2:AS206)&gt;1),1,"")))</f>
        <v/>
      </c>
      <c r="AW93" s="387">
        <f>SUMIF(C2:C206,C93,O2:O206)</f>
        <v>1</v>
      </c>
      <c r="AX93" s="387">
        <f>IF(AND(M93="F",AS93&lt;&gt;0),SUMIF(C2:C206,C93,W2:W206),0)</f>
        <v>35921.599999999999</v>
      </c>
      <c r="AY93" s="387">
        <f t="shared" si="73"/>
        <v>35921.599999999999</v>
      </c>
      <c r="AZ93" s="387" t="str">
        <f t="shared" si="74"/>
        <v/>
      </c>
      <c r="BA93" s="387">
        <f t="shared" si="75"/>
        <v>0</v>
      </c>
      <c r="BB93" s="387">
        <f t="shared" si="44"/>
        <v>11650</v>
      </c>
      <c r="BC93" s="387">
        <f t="shared" si="45"/>
        <v>0</v>
      </c>
      <c r="BD93" s="387">
        <f t="shared" si="46"/>
        <v>2227.1392000000001</v>
      </c>
      <c r="BE93" s="387">
        <f t="shared" si="47"/>
        <v>520.86320000000001</v>
      </c>
      <c r="BF93" s="387">
        <f t="shared" si="48"/>
        <v>4289.0390399999997</v>
      </c>
      <c r="BG93" s="387">
        <f t="shared" si="49"/>
        <v>258.99473599999999</v>
      </c>
      <c r="BH93" s="387">
        <f t="shared" si="50"/>
        <v>176.01584</v>
      </c>
      <c r="BI93" s="387">
        <f t="shared" si="51"/>
        <v>109.92009599999999</v>
      </c>
      <c r="BJ93" s="387">
        <f t="shared" si="52"/>
        <v>499.31023999999996</v>
      </c>
      <c r="BK93" s="387">
        <f t="shared" si="53"/>
        <v>0</v>
      </c>
      <c r="BL93" s="387">
        <f t="shared" si="76"/>
        <v>8081.2823519999993</v>
      </c>
      <c r="BM93" s="387">
        <f t="shared" si="77"/>
        <v>0</v>
      </c>
      <c r="BN93" s="387">
        <f t="shared" si="54"/>
        <v>11650</v>
      </c>
      <c r="BO93" s="387">
        <f t="shared" si="55"/>
        <v>0</v>
      </c>
      <c r="BP93" s="387">
        <f t="shared" si="56"/>
        <v>2227.1392000000001</v>
      </c>
      <c r="BQ93" s="387">
        <f t="shared" si="57"/>
        <v>520.86320000000001</v>
      </c>
      <c r="BR93" s="387">
        <f t="shared" si="58"/>
        <v>4289.0390399999997</v>
      </c>
      <c r="BS93" s="387">
        <f t="shared" si="59"/>
        <v>258.99473599999999</v>
      </c>
      <c r="BT93" s="387">
        <f t="shared" si="60"/>
        <v>0</v>
      </c>
      <c r="BU93" s="387">
        <f t="shared" si="61"/>
        <v>109.92009599999999</v>
      </c>
      <c r="BV93" s="387">
        <f t="shared" si="62"/>
        <v>499.31023999999996</v>
      </c>
      <c r="BW93" s="387">
        <f t="shared" si="63"/>
        <v>0</v>
      </c>
      <c r="BX93" s="387">
        <f t="shared" si="78"/>
        <v>7905.2665119999992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-176.01584</v>
      </c>
      <c r="CG93" s="387">
        <f t="shared" si="68"/>
        <v>0</v>
      </c>
      <c r="CH93" s="387">
        <f t="shared" si="69"/>
        <v>0</v>
      </c>
      <c r="CI93" s="387">
        <f t="shared" si="70"/>
        <v>0</v>
      </c>
      <c r="CJ93" s="387">
        <f t="shared" si="83"/>
        <v>-176.01584</v>
      </c>
      <c r="CK93" s="387" t="str">
        <f t="shared" si="84"/>
        <v/>
      </c>
      <c r="CL93" s="387" t="str">
        <f t="shared" si="85"/>
        <v/>
      </c>
      <c r="CM93" s="387" t="str">
        <f t="shared" si="86"/>
        <v/>
      </c>
      <c r="CN93" s="387" t="str">
        <f t="shared" si="87"/>
        <v>0450-26</v>
      </c>
    </row>
    <row r="94" spans="1:92" ht="15.75" thickBot="1" x14ac:dyDescent="0.3">
      <c r="A94" s="376" t="s">
        <v>161</v>
      </c>
      <c r="B94" s="376" t="s">
        <v>162</v>
      </c>
      <c r="C94" s="376" t="s">
        <v>530</v>
      </c>
      <c r="D94" s="376" t="s">
        <v>205</v>
      </c>
      <c r="E94" s="376" t="s">
        <v>251</v>
      </c>
      <c r="F94" s="382" t="s">
        <v>407</v>
      </c>
      <c r="G94" s="376" t="s">
        <v>267</v>
      </c>
      <c r="H94" s="378"/>
      <c r="I94" s="378"/>
      <c r="J94" s="376" t="s">
        <v>186</v>
      </c>
      <c r="K94" s="376" t="s">
        <v>206</v>
      </c>
      <c r="L94" s="376" t="s">
        <v>166</v>
      </c>
      <c r="M94" s="376" t="s">
        <v>207</v>
      </c>
      <c r="N94" s="376" t="s">
        <v>208</v>
      </c>
      <c r="O94" s="379">
        <v>0</v>
      </c>
      <c r="P94" s="385">
        <v>1</v>
      </c>
      <c r="Q94" s="385">
        <v>0</v>
      </c>
      <c r="R94" s="380">
        <v>0</v>
      </c>
      <c r="S94" s="385">
        <v>0</v>
      </c>
      <c r="T94" s="380">
        <v>0</v>
      </c>
      <c r="U94" s="380">
        <v>0</v>
      </c>
      <c r="V94" s="380">
        <v>0</v>
      </c>
      <c r="W94" s="380">
        <v>0</v>
      </c>
      <c r="X94" s="380">
        <v>0</v>
      </c>
      <c r="Y94" s="380">
        <v>0</v>
      </c>
      <c r="Z94" s="380">
        <v>0</v>
      </c>
      <c r="AA94" s="378"/>
      <c r="AB94" s="376" t="s">
        <v>45</v>
      </c>
      <c r="AC94" s="376" t="s">
        <v>45</v>
      </c>
      <c r="AD94" s="378"/>
      <c r="AE94" s="378"/>
      <c r="AF94" s="378"/>
      <c r="AG94" s="378"/>
      <c r="AH94" s="379">
        <v>0</v>
      </c>
      <c r="AI94" s="379">
        <v>0</v>
      </c>
      <c r="AJ94" s="378"/>
      <c r="AK94" s="378"/>
      <c r="AL94" s="376" t="s">
        <v>181</v>
      </c>
      <c r="AM94" s="378"/>
      <c r="AN94" s="378"/>
      <c r="AO94" s="379">
        <v>0</v>
      </c>
      <c r="AP94" s="385">
        <v>0</v>
      </c>
      <c r="AQ94" s="385">
        <v>0</v>
      </c>
      <c r="AR94" s="384"/>
      <c r="AS94" s="387">
        <f t="shared" si="71"/>
        <v>0</v>
      </c>
      <c r="AT94">
        <f t="shared" si="72"/>
        <v>0</v>
      </c>
      <c r="AU94" s="387" t="str">
        <f>IF(AT94=0,"",IF(AND(AT94=1,M94="F",SUMIF(C2:C206,C94,AS2:AS206)&lt;=1),SUMIF(C2:C206,C94,AS2:AS206),IF(AND(AT94=1,M94="F",SUMIF(C2:C206,C94,AS2:AS206)&gt;1),1,"")))</f>
        <v/>
      </c>
      <c r="AV94" s="387" t="str">
        <f>IF(AT94=0,"",IF(AND(AT94=3,M94="F",SUMIF(C2:C206,C94,AS2:AS206)&lt;=1),SUMIF(C2:C206,C94,AS2:AS206),IF(AND(AT94=3,M94="F",SUMIF(C2:C206,C94,AS2:AS206)&gt;1),1,"")))</f>
        <v/>
      </c>
      <c r="AW94" s="387">
        <f>SUMIF(C2:C206,C94,O2:O206)</f>
        <v>0</v>
      </c>
      <c r="AX94" s="387">
        <f>IF(AND(M94="F",AS94&lt;&gt;0),SUMIF(C2:C206,C94,W2:W206),0)</f>
        <v>0</v>
      </c>
      <c r="AY94" s="387" t="str">
        <f t="shared" si="73"/>
        <v/>
      </c>
      <c r="AZ94" s="387" t="str">
        <f t="shared" si="74"/>
        <v/>
      </c>
      <c r="BA94" s="387">
        <f t="shared" si="75"/>
        <v>0</v>
      </c>
      <c r="BB94" s="387">
        <f t="shared" si="44"/>
        <v>0</v>
      </c>
      <c r="BC94" s="387">
        <f t="shared" si="45"/>
        <v>0</v>
      </c>
      <c r="BD94" s="387">
        <f t="shared" si="46"/>
        <v>0</v>
      </c>
      <c r="BE94" s="387">
        <f t="shared" si="47"/>
        <v>0</v>
      </c>
      <c r="BF94" s="387">
        <f t="shared" si="48"/>
        <v>0</v>
      </c>
      <c r="BG94" s="387">
        <f t="shared" si="49"/>
        <v>0</v>
      </c>
      <c r="BH94" s="387">
        <f t="shared" si="50"/>
        <v>0</v>
      </c>
      <c r="BI94" s="387">
        <f t="shared" si="51"/>
        <v>0</v>
      </c>
      <c r="BJ94" s="387">
        <f t="shared" si="52"/>
        <v>0</v>
      </c>
      <c r="BK94" s="387">
        <f t="shared" si="53"/>
        <v>0</v>
      </c>
      <c r="BL94" s="387">
        <f t="shared" si="76"/>
        <v>0</v>
      </c>
      <c r="BM94" s="387">
        <f t="shared" si="77"/>
        <v>0</v>
      </c>
      <c r="BN94" s="387">
        <f t="shared" si="54"/>
        <v>0</v>
      </c>
      <c r="BO94" s="387">
        <f t="shared" si="55"/>
        <v>0</v>
      </c>
      <c r="BP94" s="387">
        <f t="shared" si="56"/>
        <v>0</v>
      </c>
      <c r="BQ94" s="387">
        <f t="shared" si="57"/>
        <v>0</v>
      </c>
      <c r="BR94" s="387">
        <f t="shared" si="58"/>
        <v>0</v>
      </c>
      <c r="BS94" s="387">
        <f t="shared" si="59"/>
        <v>0</v>
      </c>
      <c r="BT94" s="387">
        <f t="shared" si="60"/>
        <v>0</v>
      </c>
      <c r="BU94" s="387">
        <f t="shared" si="61"/>
        <v>0</v>
      </c>
      <c r="BV94" s="387">
        <f t="shared" si="62"/>
        <v>0</v>
      </c>
      <c r="BW94" s="387">
        <f t="shared" si="63"/>
        <v>0</v>
      </c>
      <c r="BX94" s="387">
        <f t="shared" si="78"/>
        <v>0</v>
      </c>
      <c r="BY94" s="387">
        <f t="shared" si="79"/>
        <v>0</v>
      </c>
      <c r="BZ94" s="387">
        <f t="shared" si="80"/>
        <v>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0</v>
      </c>
      <c r="CE94" s="387">
        <f t="shared" si="66"/>
        <v>0</v>
      </c>
      <c r="CF94" s="387">
        <f t="shared" si="67"/>
        <v>0</v>
      </c>
      <c r="CG94" s="387">
        <f t="shared" si="68"/>
        <v>0</v>
      </c>
      <c r="CH94" s="387">
        <f t="shared" si="69"/>
        <v>0</v>
      </c>
      <c r="CI94" s="387">
        <f t="shared" si="70"/>
        <v>0</v>
      </c>
      <c r="CJ94" s="387">
        <f t="shared" si="83"/>
        <v>0</v>
      </c>
      <c r="CK94" s="387" t="str">
        <f t="shared" si="84"/>
        <v/>
      </c>
      <c r="CL94" s="387">
        <f t="shared" si="85"/>
        <v>0</v>
      </c>
      <c r="CM94" s="387">
        <f t="shared" si="86"/>
        <v>0</v>
      </c>
      <c r="CN94" s="387" t="str">
        <f t="shared" si="87"/>
        <v>0450-26</v>
      </c>
    </row>
    <row r="95" spans="1:92" ht="15.75" thickBot="1" x14ac:dyDescent="0.3">
      <c r="A95" s="376" t="s">
        <v>161</v>
      </c>
      <c r="B95" s="376" t="s">
        <v>162</v>
      </c>
      <c r="C95" s="376" t="s">
        <v>531</v>
      </c>
      <c r="D95" s="376" t="s">
        <v>254</v>
      </c>
      <c r="E95" s="376" t="s">
        <v>251</v>
      </c>
      <c r="F95" s="382" t="s">
        <v>407</v>
      </c>
      <c r="G95" s="376" t="s">
        <v>267</v>
      </c>
      <c r="H95" s="378"/>
      <c r="I95" s="378"/>
      <c r="J95" s="376" t="s">
        <v>186</v>
      </c>
      <c r="K95" s="376" t="s">
        <v>255</v>
      </c>
      <c r="L95" s="376" t="s">
        <v>178</v>
      </c>
      <c r="M95" s="376" t="s">
        <v>171</v>
      </c>
      <c r="N95" s="376" t="s">
        <v>172</v>
      </c>
      <c r="O95" s="379">
        <v>1</v>
      </c>
      <c r="P95" s="385">
        <v>1</v>
      </c>
      <c r="Q95" s="385">
        <v>1</v>
      </c>
      <c r="R95" s="380">
        <v>80</v>
      </c>
      <c r="S95" s="385">
        <v>1</v>
      </c>
      <c r="T95" s="380">
        <v>41328.910000000003</v>
      </c>
      <c r="U95" s="380">
        <v>0</v>
      </c>
      <c r="V95" s="380">
        <v>20107.3</v>
      </c>
      <c r="W95" s="380">
        <v>42598.400000000001</v>
      </c>
      <c r="X95" s="380">
        <v>21233.33</v>
      </c>
      <c r="Y95" s="380">
        <v>42598.400000000001</v>
      </c>
      <c r="Z95" s="380">
        <v>21024.6</v>
      </c>
      <c r="AA95" s="376" t="s">
        <v>532</v>
      </c>
      <c r="AB95" s="376" t="s">
        <v>533</v>
      </c>
      <c r="AC95" s="376" t="s">
        <v>515</v>
      </c>
      <c r="AD95" s="376" t="s">
        <v>534</v>
      </c>
      <c r="AE95" s="376" t="s">
        <v>255</v>
      </c>
      <c r="AF95" s="376" t="s">
        <v>250</v>
      </c>
      <c r="AG95" s="376" t="s">
        <v>178</v>
      </c>
      <c r="AH95" s="381">
        <v>20.48</v>
      </c>
      <c r="AI95" s="381">
        <v>27093.8</v>
      </c>
      <c r="AJ95" s="376" t="s">
        <v>179</v>
      </c>
      <c r="AK95" s="376" t="s">
        <v>180</v>
      </c>
      <c r="AL95" s="376" t="s">
        <v>181</v>
      </c>
      <c r="AM95" s="376" t="s">
        <v>182</v>
      </c>
      <c r="AN95" s="376" t="s">
        <v>68</v>
      </c>
      <c r="AO95" s="379">
        <v>80</v>
      </c>
      <c r="AP95" s="385">
        <v>1</v>
      </c>
      <c r="AQ95" s="385">
        <v>1</v>
      </c>
      <c r="AR95" s="383" t="s">
        <v>183</v>
      </c>
      <c r="AS95" s="387">
        <f t="shared" si="71"/>
        <v>1</v>
      </c>
      <c r="AT95">
        <f t="shared" si="72"/>
        <v>1</v>
      </c>
      <c r="AU95" s="387">
        <f>IF(AT95=0,"",IF(AND(AT95=1,M95="F",SUMIF(C2:C206,C95,AS2:AS206)&lt;=1),SUMIF(C2:C206,C95,AS2:AS206),IF(AND(AT95=1,M95="F",SUMIF(C2:C206,C95,AS2:AS206)&gt;1),1,"")))</f>
        <v>1</v>
      </c>
      <c r="AV95" s="387" t="str">
        <f>IF(AT95=0,"",IF(AND(AT95=3,M95="F",SUMIF(C2:C206,C95,AS2:AS206)&lt;=1),SUMIF(C2:C206,C95,AS2:AS206),IF(AND(AT95=3,M95="F",SUMIF(C2:C206,C95,AS2:AS206)&gt;1),1,"")))</f>
        <v/>
      </c>
      <c r="AW95" s="387">
        <f>SUMIF(C2:C206,C95,O2:O206)</f>
        <v>1</v>
      </c>
      <c r="AX95" s="387">
        <f>IF(AND(M95="F",AS95&lt;&gt;0),SUMIF(C2:C206,C95,W2:W206),0)</f>
        <v>42598.400000000001</v>
      </c>
      <c r="AY95" s="387">
        <f t="shared" si="73"/>
        <v>42598.400000000001</v>
      </c>
      <c r="AZ95" s="387" t="str">
        <f t="shared" si="74"/>
        <v/>
      </c>
      <c r="BA95" s="387">
        <f t="shared" si="75"/>
        <v>0</v>
      </c>
      <c r="BB95" s="387">
        <f t="shared" si="44"/>
        <v>11650</v>
      </c>
      <c r="BC95" s="387">
        <f t="shared" si="45"/>
        <v>0</v>
      </c>
      <c r="BD95" s="387">
        <f t="shared" si="46"/>
        <v>2641.1008000000002</v>
      </c>
      <c r="BE95" s="387">
        <f t="shared" si="47"/>
        <v>617.67680000000007</v>
      </c>
      <c r="BF95" s="387">
        <f t="shared" si="48"/>
        <v>5086.2489600000008</v>
      </c>
      <c r="BG95" s="387">
        <f t="shared" si="49"/>
        <v>307.13446400000004</v>
      </c>
      <c r="BH95" s="387">
        <f t="shared" si="50"/>
        <v>208.73215999999999</v>
      </c>
      <c r="BI95" s="387">
        <f t="shared" si="51"/>
        <v>130.35110399999999</v>
      </c>
      <c r="BJ95" s="387">
        <f t="shared" si="52"/>
        <v>592.11775999999998</v>
      </c>
      <c r="BK95" s="387">
        <f t="shared" si="53"/>
        <v>0</v>
      </c>
      <c r="BL95" s="387">
        <f t="shared" si="76"/>
        <v>9583.3620480000009</v>
      </c>
      <c r="BM95" s="387">
        <f t="shared" si="77"/>
        <v>0</v>
      </c>
      <c r="BN95" s="387">
        <f t="shared" si="54"/>
        <v>11650</v>
      </c>
      <c r="BO95" s="387">
        <f t="shared" si="55"/>
        <v>0</v>
      </c>
      <c r="BP95" s="387">
        <f t="shared" si="56"/>
        <v>2641.1008000000002</v>
      </c>
      <c r="BQ95" s="387">
        <f t="shared" si="57"/>
        <v>617.67680000000007</v>
      </c>
      <c r="BR95" s="387">
        <f t="shared" si="58"/>
        <v>5086.2489600000008</v>
      </c>
      <c r="BS95" s="387">
        <f t="shared" si="59"/>
        <v>307.13446400000004</v>
      </c>
      <c r="BT95" s="387">
        <f t="shared" si="60"/>
        <v>0</v>
      </c>
      <c r="BU95" s="387">
        <f t="shared" si="61"/>
        <v>130.35110399999999</v>
      </c>
      <c r="BV95" s="387">
        <f t="shared" si="62"/>
        <v>592.11775999999998</v>
      </c>
      <c r="BW95" s="387">
        <f t="shared" si="63"/>
        <v>0</v>
      </c>
      <c r="BX95" s="387">
        <f t="shared" si="78"/>
        <v>9374.6298880000013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-208.73215999999999</v>
      </c>
      <c r="CG95" s="387">
        <f t="shared" si="68"/>
        <v>0</v>
      </c>
      <c r="CH95" s="387">
        <f t="shared" si="69"/>
        <v>0</v>
      </c>
      <c r="CI95" s="387">
        <f t="shared" si="70"/>
        <v>0</v>
      </c>
      <c r="CJ95" s="387">
        <f t="shared" si="83"/>
        <v>-208.73215999999999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0450-26</v>
      </c>
    </row>
    <row r="96" spans="1:92" ht="15.75" thickBot="1" x14ac:dyDescent="0.3">
      <c r="A96" s="376" t="s">
        <v>161</v>
      </c>
      <c r="B96" s="376" t="s">
        <v>162</v>
      </c>
      <c r="C96" s="376" t="s">
        <v>535</v>
      </c>
      <c r="D96" s="376" t="s">
        <v>536</v>
      </c>
      <c r="E96" s="376" t="s">
        <v>251</v>
      </c>
      <c r="F96" s="382" t="s">
        <v>407</v>
      </c>
      <c r="G96" s="376" t="s">
        <v>267</v>
      </c>
      <c r="H96" s="378"/>
      <c r="I96" s="378"/>
      <c r="J96" s="376" t="s">
        <v>186</v>
      </c>
      <c r="K96" s="376" t="s">
        <v>537</v>
      </c>
      <c r="L96" s="376" t="s">
        <v>526</v>
      </c>
      <c r="M96" s="376" t="s">
        <v>207</v>
      </c>
      <c r="N96" s="376" t="s">
        <v>208</v>
      </c>
      <c r="O96" s="379">
        <v>0</v>
      </c>
      <c r="P96" s="385">
        <v>1</v>
      </c>
      <c r="Q96" s="385">
        <v>0</v>
      </c>
      <c r="R96" s="380">
        <v>0</v>
      </c>
      <c r="S96" s="385">
        <v>0</v>
      </c>
      <c r="T96" s="380">
        <v>0</v>
      </c>
      <c r="U96" s="380">
        <v>0</v>
      </c>
      <c r="V96" s="380">
        <v>0</v>
      </c>
      <c r="W96" s="380">
        <v>0</v>
      </c>
      <c r="X96" s="380">
        <v>0</v>
      </c>
      <c r="Y96" s="380">
        <v>0</v>
      </c>
      <c r="Z96" s="380">
        <v>0</v>
      </c>
      <c r="AA96" s="378"/>
      <c r="AB96" s="376" t="s">
        <v>45</v>
      </c>
      <c r="AC96" s="376" t="s">
        <v>45</v>
      </c>
      <c r="AD96" s="378"/>
      <c r="AE96" s="378"/>
      <c r="AF96" s="378"/>
      <c r="AG96" s="378"/>
      <c r="AH96" s="379">
        <v>0</v>
      </c>
      <c r="AI96" s="379">
        <v>0</v>
      </c>
      <c r="AJ96" s="378"/>
      <c r="AK96" s="378"/>
      <c r="AL96" s="376" t="s">
        <v>181</v>
      </c>
      <c r="AM96" s="378"/>
      <c r="AN96" s="378"/>
      <c r="AO96" s="379">
        <v>0</v>
      </c>
      <c r="AP96" s="385">
        <v>0</v>
      </c>
      <c r="AQ96" s="385">
        <v>0</v>
      </c>
      <c r="AR96" s="384"/>
      <c r="AS96" s="387">
        <f t="shared" si="71"/>
        <v>0</v>
      </c>
      <c r="AT96">
        <f t="shared" si="72"/>
        <v>0</v>
      </c>
      <c r="AU96" s="387" t="str">
        <f>IF(AT96=0,"",IF(AND(AT96=1,M96="F",SUMIF(C2:C206,C96,AS2:AS206)&lt;=1),SUMIF(C2:C206,C96,AS2:AS206),IF(AND(AT96=1,M96="F",SUMIF(C2:C206,C96,AS2:AS206)&gt;1),1,"")))</f>
        <v/>
      </c>
      <c r="AV96" s="387" t="str">
        <f>IF(AT96=0,"",IF(AND(AT96=3,M96="F",SUMIF(C2:C206,C96,AS2:AS206)&lt;=1),SUMIF(C2:C206,C96,AS2:AS206),IF(AND(AT96=3,M96="F",SUMIF(C2:C206,C96,AS2:AS206)&gt;1),1,"")))</f>
        <v/>
      </c>
      <c r="AW96" s="387">
        <f>SUMIF(C2:C206,C96,O2:O206)</f>
        <v>0</v>
      </c>
      <c r="AX96" s="387">
        <f>IF(AND(M96="F",AS96&lt;&gt;0),SUMIF(C2:C206,C96,W2:W206),0)</f>
        <v>0</v>
      </c>
      <c r="AY96" s="387" t="str">
        <f t="shared" si="73"/>
        <v/>
      </c>
      <c r="AZ96" s="387" t="str">
        <f t="shared" si="74"/>
        <v/>
      </c>
      <c r="BA96" s="387">
        <f t="shared" si="75"/>
        <v>0</v>
      </c>
      <c r="BB96" s="387">
        <f t="shared" si="44"/>
        <v>0</v>
      </c>
      <c r="BC96" s="387">
        <f t="shared" si="45"/>
        <v>0</v>
      </c>
      <c r="BD96" s="387">
        <f t="shared" si="46"/>
        <v>0</v>
      </c>
      <c r="BE96" s="387">
        <f t="shared" si="47"/>
        <v>0</v>
      </c>
      <c r="BF96" s="387">
        <f t="shared" si="48"/>
        <v>0</v>
      </c>
      <c r="BG96" s="387">
        <f t="shared" si="49"/>
        <v>0</v>
      </c>
      <c r="BH96" s="387">
        <f t="shared" si="50"/>
        <v>0</v>
      </c>
      <c r="BI96" s="387">
        <f t="shared" si="51"/>
        <v>0</v>
      </c>
      <c r="BJ96" s="387">
        <f t="shared" si="52"/>
        <v>0</v>
      </c>
      <c r="BK96" s="387">
        <f t="shared" si="53"/>
        <v>0</v>
      </c>
      <c r="BL96" s="387">
        <f t="shared" si="76"/>
        <v>0</v>
      </c>
      <c r="BM96" s="387">
        <f t="shared" si="77"/>
        <v>0</v>
      </c>
      <c r="BN96" s="387">
        <f t="shared" si="54"/>
        <v>0</v>
      </c>
      <c r="BO96" s="387">
        <f t="shared" si="55"/>
        <v>0</v>
      </c>
      <c r="BP96" s="387">
        <f t="shared" si="56"/>
        <v>0</v>
      </c>
      <c r="BQ96" s="387">
        <f t="shared" si="57"/>
        <v>0</v>
      </c>
      <c r="BR96" s="387">
        <f t="shared" si="58"/>
        <v>0</v>
      </c>
      <c r="BS96" s="387">
        <f t="shared" si="59"/>
        <v>0</v>
      </c>
      <c r="BT96" s="387">
        <f t="shared" si="60"/>
        <v>0</v>
      </c>
      <c r="BU96" s="387">
        <f t="shared" si="61"/>
        <v>0</v>
      </c>
      <c r="BV96" s="387">
        <f t="shared" si="62"/>
        <v>0</v>
      </c>
      <c r="BW96" s="387">
        <f t="shared" si="63"/>
        <v>0</v>
      </c>
      <c r="BX96" s="387">
        <f t="shared" si="78"/>
        <v>0</v>
      </c>
      <c r="BY96" s="387">
        <f t="shared" si="79"/>
        <v>0</v>
      </c>
      <c r="BZ96" s="387">
        <f t="shared" si="80"/>
        <v>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0</v>
      </c>
      <c r="CE96" s="387">
        <f t="shared" si="66"/>
        <v>0</v>
      </c>
      <c r="CF96" s="387">
        <f t="shared" si="67"/>
        <v>0</v>
      </c>
      <c r="CG96" s="387">
        <f t="shared" si="68"/>
        <v>0</v>
      </c>
      <c r="CH96" s="387">
        <f t="shared" si="69"/>
        <v>0</v>
      </c>
      <c r="CI96" s="387">
        <f t="shared" si="70"/>
        <v>0</v>
      </c>
      <c r="CJ96" s="387">
        <f t="shared" si="83"/>
        <v>0</v>
      </c>
      <c r="CK96" s="387" t="str">
        <f t="shared" si="84"/>
        <v/>
      </c>
      <c r="CL96" s="387">
        <f t="shared" si="85"/>
        <v>0</v>
      </c>
      <c r="CM96" s="387">
        <f t="shared" si="86"/>
        <v>0</v>
      </c>
      <c r="CN96" s="387" t="str">
        <f t="shared" si="87"/>
        <v>0450-26</v>
      </c>
    </row>
    <row r="97" spans="1:92" ht="15.75" thickBot="1" x14ac:dyDescent="0.3">
      <c r="A97" s="376" t="s">
        <v>161</v>
      </c>
      <c r="B97" s="376" t="s">
        <v>162</v>
      </c>
      <c r="C97" s="376" t="s">
        <v>538</v>
      </c>
      <c r="D97" s="376" t="s">
        <v>539</v>
      </c>
      <c r="E97" s="376" t="s">
        <v>251</v>
      </c>
      <c r="F97" s="382" t="s">
        <v>407</v>
      </c>
      <c r="G97" s="376" t="s">
        <v>267</v>
      </c>
      <c r="H97" s="378"/>
      <c r="I97" s="378"/>
      <c r="J97" s="376" t="s">
        <v>186</v>
      </c>
      <c r="K97" s="376" t="s">
        <v>540</v>
      </c>
      <c r="L97" s="376" t="s">
        <v>526</v>
      </c>
      <c r="M97" s="376" t="s">
        <v>171</v>
      </c>
      <c r="N97" s="376" t="s">
        <v>172</v>
      </c>
      <c r="O97" s="379">
        <v>1</v>
      </c>
      <c r="P97" s="385">
        <v>1</v>
      </c>
      <c r="Q97" s="385">
        <v>1</v>
      </c>
      <c r="R97" s="380">
        <v>80</v>
      </c>
      <c r="S97" s="385">
        <v>1</v>
      </c>
      <c r="T97" s="380">
        <v>34563.199999999997</v>
      </c>
      <c r="U97" s="380">
        <v>0</v>
      </c>
      <c r="V97" s="380">
        <v>20016.169999999998</v>
      </c>
      <c r="W97" s="380">
        <v>35630.400000000001</v>
      </c>
      <c r="X97" s="380">
        <v>19665.73</v>
      </c>
      <c r="Y97" s="380">
        <v>35630.400000000001</v>
      </c>
      <c r="Z97" s="380">
        <v>19491.150000000001</v>
      </c>
      <c r="AA97" s="376" t="s">
        <v>541</v>
      </c>
      <c r="AB97" s="376" t="s">
        <v>542</v>
      </c>
      <c r="AC97" s="376" t="s">
        <v>543</v>
      </c>
      <c r="AD97" s="376" t="s">
        <v>228</v>
      </c>
      <c r="AE97" s="376" t="s">
        <v>540</v>
      </c>
      <c r="AF97" s="376" t="s">
        <v>529</v>
      </c>
      <c r="AG97" s="376" t="s">
        <v>178</v>
      </c>
      <c r="AH97" s="381">
        <v>17.13</v>
      </c>
      <c r="AI97" s="379">
        <v>27690</v>
      </c>
      <c r="AJ97" s="376" t="s">
        <v>179</v>
      </c>
      <c r="AK97" s="376" t="s">
        <v>180</v>
      </c>
      <c r="AL97" s="376" t="s">
        <v>181</v>
      </c>
      <c r="AM97" s="376" t="s">
        <v>182</v>
      </c>
      <c r="AN97" s="376" t="s">
        <v>68</v>
      </c>
      <c r="AO97" s="379">
        <v>80</v>
      </c>
      <c r="AP97" s="385">
        <v>1</v>
      </c>
      <c r="AQ97" s="385">
        <v>1</v>
      </c>
      <c r="AR97" s="383" t="s">
        <v>183</v>
      </c>
      <c r="AS97" s="387">
        <f t="shared" si="71"/>
        <v>1</v>
      </c>
      <c r="AT97">
        <f t="shared" si="72"/>
        <v>1</v>
      </c>
      <c r="AU97" s="387">
        <f>IF(AT97=0,"",IF(AND(AT97=1,M97="F",SUMIF(C2:C206,C97,AS2:AS206)&lt;=1),SUMIF(C2:C206,C97,AS2:AS206),IF(AND(AT97=1,M97="F",SUMIF(C2:C206,C97,AS2:AS206)&gt;1),1,"")))</f>
        <v>1</v>
      </c>
      <c r="AV97" s="387" t="str">
        <f>IF(AT97=0,"",IF(AND(AT97=3,M97="F",SUMIF(C2:C206,C97,AS2:AS206)&lt;=1),SUMIF(C2:C206,C97,AS2:AS206),IF(AND(AT97=3,M97="F",SUMIF(C2:C206,C97,AS2:AS206)&gt;1),1,"")))</f>
        <v/>
      </c>
      <c r="AW97" s="387">
        <f>SUMIF(C2:C206,C97,O2:O206)</f>
        <v>1</v>
      </c>
      <c r="AX97" s="387">
        <f>IF(AND(M97="F",AS97&lt;&gt;0),SUMIF(C2:C206,C97,W2:W206),0)</f>
        <v>35630.400000000001</v>
      </c>
      <c r="AY97" s="387">
        <f t="shared" si="73"/>
        <v>35630.400000000001</v>
      </c>
      <c r="AZ97" s="387" t="str">
        <f t="shared" si="74"/>
        <v/>
      </c>
      <c r="BA97" s="387">
        <f t="shared" si="75"/>
        <v>0</v>
      </c>
      <c r="BB97" s="387">
        <f t="shared" si="44"/>
        <v>11650</v>
      </c>
      <c r="BC97" s="387">
        <f t="shared" si="45"/>
        <v>0</v>
      </c>
      <c r="BD97" s="387">
        <f t="shared" si="46"/>
        <v>2209.0848000000001</v>
      </c>
      <c r="BE97" s="387">
        <f t="shared" si="47"/>
        <v>516.64080000000001</v>
      </c>
      <c r="BF97" s="387">
        <f t="shared" si="48"/>
        <v>4254.2697600000001</v>
      </c>
      <c r="BG97" s="387">
        <f t="shared" si="49"/>
        <v>256.89518400000003</v>
      </c>
      <c r="BH97" s="387">
        <f t="shared" si="50"/>
        <v>174.58896000000001</v>
      </c>
      <c r="BI97" s="387">
        <f t="shared" si="51"/>
        <v>109.02902399999999</v>
      </c>
      <c r="BJ97" s="387">
        <f t="shared" si="52"/>
        <v>495.26256000000001</v>
      </c>
      <c r="BK97" s="387">
        <f t="shared" si="53"/>
        <v>0</v>
      </c>
      <c r="BL97" s="387">
        <f t="shared" si="76"/>
        <v>8015.7710880000013</v>
      </c>
      <c r="BM97" s="387">
        <f t="shared" si="77"/>
        <v>0</v>
      </c>
      <c r="BN97" s="387">
        <f t="shared" si="54"/>
        <v>11650</v>
      </c>
      <c r="BO97" s="387">
        <f t="shared" si="55"/>
        <v>0</v>
      </c>
      <c r="BP97" s="387">
        <f t="shared" si="56"/>
        <v>2209.0848000000001</v>
      </c>
      <c r="BQ97" s="387">
        <f t="shared" si="57"/>
        <v>516.64080000000001</v>
      </c>
      <c r="BR97" s="387">
        <f t="shared" si="58"/>
        <v>4254.2697600000001</v>
      </c>
      <c r="BS97" s="387">
        <f t="shared" si="59"/>
        <v>256.89518400000003</v>
      </c>
      <c r="BT97" s="387">
        <f t="shared" si="60"/>
        <v>0</v>
      </c>
      <c r="BU97" s="387">
        <f t="shared" si="61"/>
        <v>109.02902399999999</v>
      </c>
      <c r="BV97" s="387">
        <f t="shared" si="62"/>
        <v>495.26256000000001</v>
      </c>
      <c r="BW97" s="387">
        <f t="shared" si="63"/>
        <v>0</v>
      </c>
      <c r="BX97" s="387">
        <f t="shared" si="78"/>
        <v>7841.1821280000013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-174.58896000000001</v>
      </c>
      <c r="CG97" s="387">
        <f t="shared" si="68"/>
        <v>0</v>
      </c>
      <c r="CH97" s="387">
        <f t="shared" si="69"/>
        <v>0</v>
      </c>
      <c r="CI97" s="387">
        <f t="shared" si="70"/>
        <v>0</v>
      </c>
      <c r="CJ97" s="387">
        <f t="shared" si="83"/>
        <v>-174.58896000000001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0450-26</v>
      </c>
    </row>
    <row r="98" spans="1:92" ht="15.75" thickBot="1" x14ac:dyDescent="0.3">
      <c r="A98" s="376" t="s">
        <v>161</v>
      </c>
      <c r="B98" s="376" t="s">
        <v>162</v>
      </c>
      <c r="C98" s="376" t="s">
        <v>544</v>
      </c>
      <c r="D98" s="376" t="s">
        <v>508</v>
      </c>
      <c r="E98" s="376" t="s">
        <v>251</v>
      </c>
      <c r="F98" s="382" t="s">
        <v>407</v>
      </c>
      <c r="G98" s="376" t="s">
        <v>267</v>
      </c>
      <c r="H98" s="378"/>
      <c r="I98" s="378"/>
      <c r="J98" s="376" t="s">
        <v>186</v>
      </c>
      <c r="K98" s="376" t="s">
        <v>509</v>
      </c>
      <c r="L98" s="376" t="s">
        <v>269</v>
      </c>
      <c r="M98" s="376" t="s">
        <v>171</v>
      </c>
      <c r="N98" s="376" t="s">
        <v>172</v>
      </c>
      <c r="O98" s="379">
        <v>1</v>
      </c>
      <c r="P98" s="385">
        <v>1</v>
      </c>
      <c r="Q98" s="385">
        <v>1</v>
      </c>
      <c r="R98" s="380">
        <v>80</v>
      </c>
      <c r="S98" s="385">
        <v>1</v>
      </c>
      <c r="T98" s="380">
        <v>52329.51</v>
      </c>
      <c r="U98" s="380">
        <v>27.07</v>
      </c>
      <c r="V98" s="380">
        <v>23463.31</v>
      </c>
      <c r="W98" s="380">
        <v>54828.800000000003</v>
      </c>
      <c r="X98" s="380">
        <v>23984.799999999999</v>
      </c>
      <c r="Y98" s="380">
        <v>54828.800000000003</v>
      </c>
      <c r="Z98" s="380">
        <v>23716.14</v>
      </c>
      <c r="AA98" s="376" t="s">
        <v>545</v>
      </c>
      <c r="AB98" s="376" t="s">
        <v>546</v>
      </c>
      <c r="AC98" s="376" t="s">
        <v>474</v>
      </c>
      <c r="AD98" s="376" t="s">
        <v>228</v>
      </c>
      <c r="AE98" s="376" t="s">
        <v>509</v>
      </c>
      <c r="AF98" s="376" t="s">
        <v>274</v>
      </c>
      <c r="AG98" s="376" t="s">
        <v>178</v>
      </c>
      <c r="AH98" s="381">
        <v>26.36</v>
      </c>
      <c r="AI98" s="381">
        <v>29580.5</v>
      </c>
      <c r="AJ98" s="376" t="s">
        <v>179</v>
      </c>
      <c r="AK98" s="376" t="s">
        <v>180</v>
      </c>
      <c r="AL98" s="376" t="s">
        <v>181</v>
      </c>
      <c r="AM98" s="376" t="s">
        <v>182</v>
      </c>
      <c r="AN98" s="376" t="s">
        <v>68</v>
      </c>
      <c r="AO98" s="379">
        <v>80</v>
      </c>
      <c r="AP98" s="385">
        <v>1</v>
      </c>
      <c r="AQ98" s="385">
        <v>1</v>
      </c>
      <c r="AR98" s="383" t="s">
        <v>183</v>
      </c>
      <c r="AS98" s="387">
        <f t="shared" si="71"/>
        <v>1</v>
      </c>
      <c r="AT98">
        <f t="shared" si="72"/>
        <v>1</v>
      </c>
      <c r="AU98" s="387">
        <f>IF(AT98=0,"",IF(AND(AT98=1,M98="F",SUMIF(C2:C206,C98,AS2:AS206)&lt;=1),SUMIF(C2:C206,C98,AS2:AS206),IF(AND(AT98=1,M98="F",SUMIF(C2:C206,C98,AS2:AS206)&gt;1),1,"")))</f>
        <v>1</v>
      </c>
      <c r="AV98" s="387" t="str">
        <f>IF(AT98=0,"",IF(AND(AT98=3,M98="F",SUMIF(C2:C206,C98,AS2:AS206)&lt;=1),SUMIF(C2:C206,C98,AS2:AS206),IF(AND(AT98=3,M98="F",SUMIF(C2:C206,C98,AS2:AS206)&gt;1),1,"")))</f>
        <v/>
      </c>
      <c r="AW98" s="387">
        <f>SUMIF(C2:C206,C98,O2:O206)</f>
        <v>1</v>
      </c>
      <c r="AX98" s="387">
        <f>IF(AND(M98="F",AS98&lt;&gt;0),SUMIF(C2:C206,C98,W2:W206),0)</f>
        <v>54828.800000000003</v>
      </c>
      <c r="AY98" s="387">
        <f t="shared" si="73"/>
        <v>54828.800000000003</v>
      </c>
      <c r="AZ98" s="387" t="str">
        <f t="shared" si="74"/>
        <v/>
      </c>
      <c r="BA98" s="387">
        <f t="shared" si="75"/>
        <v>0</v>
      </c>
      <c r="BB98" s="387">
        <f t="shared" si="44"/>
        <v>11650</v>
      </c>
      <c r="BC98" s="387">
        <f t="shared" si="45"/>
        <v>0</v>
      </c>
      <c r="BD98" s="387">
        <f t="shared" si="46"/>
        <v>3399.3856000000001</v>
      </c>
      <c r="BE98" s="387">
        <f t="shared" si="47"/>
        <v>795.01760000000013</v>
      </c>
      <c r="BF98" s="387">
        <f t="shared" si="48"/>
        <v>6546.5587200000009</v>
      </c>
      <c r="BG98" s="387">
        <f t="shared" si="49"/>
        <v>395.31564800000001</v>
      </c>
      <c r="BH98" s="387">
        <f t="shared" si="50"/>
        <v>268.66111999999998</v>
      </c>
      <c r="BI98" s="387">
        <f t="shared" si="51"/>
        <v>167.776128</v>
      </c>
      <c r="BJ98" s="387">
        <f t="shared" si="52"/>
        <v>762.12031999999999</v>
      </c>
      <c r="BK98" s="387">
        <f t="shared" si="53"/>
        <v>0</v>
      </c>
      <c r="BL98" s="387">
        <f t="shared" si="76"/>
        <v>12334.835136000002</v>
      </c>
      <c r="BM98" s="387">
        <f t="shared" si="77"/>
        <v>0</v>
      </c>
      <c r="BN98" s="387">
        <f t="shared" si="54"/>
        <v>11650</v>
      </c>
      <c r="BO98" s="387">
        <f t="shared" si="55"/>
        <v>0</v>
      </c>
      <c r="BP98" s="387">
        <f t="shared" si="56"/>
        <v>3399.3856000000001</v>
      </c>
      <c r="BQ98" s="387">
        <f t="shared" si="57"/>
        <v>795.01760000000013</v>
      </c>
      <c r="BR98" s="387">
        <f t="shared" si="58"/>
        <v>6546.5587200000009</v>
      </c>
      <c r="BS98" s="387">
        <f t="shared" si="59"/>
        <v>395.31564800000001</v>
      </c>
      <c r="BT98" s="387">
        <f t="shared" si="60"/>
        <v>0</v>
      </c>
      <c r="BU98" s="387">
        <f t="shared" si="61"/>
        <v>167.776128</v>
      </c>
      <c r="BV98" s="387">
        <f t="shared" si="62"/>
        <v>762.12031999999999</v>
      </c>
      <c r="BW98" s="387">
        <f t="shared" si="63"/>
        <v>0</v>
      </c>
      <c r="BX98" s="387">
        <f t="shared" si="78"/>
        <v>12066.174016000001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-268.66111999999998</v>
      </c>
      <c r="CG98" s="387">
        <f t="shared" si="68"/>
        <v>0</v>
      </c>
      <c r="CH98" s="387">
        <f t="shared" si="69"/>
        <v>0</v>
      </c>
      <c r="CI98" s="387">
        <f t="shared" si="70"/>
        <v>0</v>
      </c>
      <c r="CJ98" s="387">
        <f t="shared" si="83"/>
        <v>-268.66111999999998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0450-26</v>
      </c>
    </row>
    <row r="99" spans="1:92" ht="15.75" thickBot="1" x14ac:dyDescent="0.3">
      <c r="A99" s="376" t="s">
        <v>161</v>
      </c>
      <c r="B99" s="376" t="s">
        <v>162</v>
      </c>
      <c r="C99" s="376" t="s">
        <v>547</v>
      </c>
      <c r="D99" s="376" t="s">
        <v>205</v>
      </c>
      <c r="E99" s="376" t="s">
        <v>251</v>
      </c>
      <c r="F99" s="382" t="s">
        <v>407</v>
      </c>
      <c r="G99" s="376" t="s">
        <v>267</v>
      </c>
      <c r="H99" s="378"/>
      <c r="I99" s="378"/>
      <c r="J99" s="376" t="s">
        <v>186</v>
      </c>
      <c r="K99" s="376" t="s">
        <v>206</v>
      </c>
      <c r="L99" s="376" t="s">
        <v>166</v>
      </c>
      <c r="M99" s="376" t="s">
        <v>171</v>
      </c>
      <c r="N99" s="376" t="s">
        <v>208</v>
      </c>
      <c r="O99" s="379">
        <v>0</v>
      </c>
      <c r="P99" s="385">
        <v>1</v>
      </c>
      <c r="Q99" s="385">
        <v>0</v>
      </c>
      <c r="R99" s="380">
        <v>0</v>
      </c>
      <c r="S99" s="385">
        <v>0</v>
      </c>
      <c r="T99" s="380">
        <v>2562.5</v>
      </c>
      <c r="U99" s="380">
        <v>0</v>
      </c>
      <c r="V99" s="380">
        <v>715.88</v>
      </c>
      <c r="W99" s="380">
        <v>2562.5</v>
      </c>
      <c r="X99" s="380">
        <v>715.88</v>
      </c>
      <c r="Y99" s="380">
        <v>2562.5</v>
      </c>
      <c r="Z99" s="380">
        <v>715.88</v>
      </c>
      <c r="AA99" s="378"/>
      <c r="AB99" s="376" t="s">
        <v>45</v>
      </c>
      <c r="AC99" s="376" t="s">
        <v>45</v>
      </c>
      <c r="AD99" s="378"/>
      <c r="AE99" s="378"/>
      <c r="AF99" s="378"/>
      <c r="AG99" s="378"/>
      <c r="AH99" s="379">
        <v>0</v>
      </c>
      <c r="AI99" s="379">
        <v>0</v>
      </c>
      <c r="AJ99" s="378"/>
      <c r="AK99" s="378"/>
      <c r="AL99" s="376" t="s">
        <v>181</v>
      </c>
      <c r="AM99" s="378"/>
      <c r="AN99" s="378"/>
      <c r="AO99" s="379">
        <v>0</v>
      </c>
      <c r="AP99" s="385">
        <v>0</v>
      </c>
      <c r="AQ99" s="385">
        <v>0</v>
      </c>
      <c r="AR99" s="384"/>
      <c r="AS99" s="387">
        <f t="shared" si="71"/>
        <v>0</v>
      </c>
      <c r="AT99">
        <f t="shared" si="72"/>
        <v>0</v>
      </c>
      <c r="AU99" s="387" t="str">
        <f>IF(AT99=0,"",IF(AND(AT99=1,M99="F",SUMIF(C2:C206,C99,AS2:AS206)&lt;=1),SUMIF(C2:C206,C99,AS2:AS206),IF(AND(AT99=1,M99="F",SUMIF(C2:C206,C99,AS2:AS206)&gt;1),1,"")))</f>
        <v/>
      </c>
      <c r="AV99" s="387" t="str">
        <f>IF(AT99=0,"",IF(AND(AT99=3,M99="F",SUMIF(C2:C206,C99,AS2:AS206)&lt;=1),SUMIF(C2:C206,C99,AS2:AS206),IF(AND(AT99=3,M99="F",SUMIF(C2:C206,C99,AS2:AS206)&gt;1),1,"")))</f>
        <v/>
      </c>
      <c r="AW99" s="387">
        <f>SUMIF(C2:C206,C99,O2:O206)</f>
        <v>0</v>
      </c>
      <c r="AX99" s="387">
        <f>IF(AND(M99="F",AS99&lt;&gt;0),SUMIF(C2:C206,C99,W2:W206),0)</f>
        <v>0</v>
      </c>
      <c r="AY99" s="387" t="str">
        <f t="shared" si="73"/>
        <v/>
      </c>
      <c r="AZ99" s="387" t="str">
        <f t="shared" si="74"/>
        <v/>
      </c>
      <c r="BA99" s="387">
        <f t="shared" si="75"/>
        <v>0</v>
      </c>
      <c r="BB99" s="387">
        <f t="shared" si="44"/>
        <v>0</v>
      </c>
      <c r="BC99" s="387">
        <f t="shared" si="45"/>
        <v>0</v>
      </c>
      <c r="BD99" s="387">
        <f t="shared" si="46"/>
        <v>0</v>
      </c>
      <c r="BE99" s="387">
        <f t="shared" si="47"/>
        <v>0</v>
      </c>
      <c r="BF99" s="387">
        <f t="shared" si="48"/>
        <v>0</v>
      </c>
      <c r="BG99" s="387">
        <f t="shared" si="49"/>
        <v>0</v>
      </c>
      <c r="BH99" s="387">
        <f t="shared" si="50"/>
        <v>0</v>
      </c>
      <c r="BI99" s="387">
        <f t="shared" si="51"/>
        <v>0</v>
      </c>
      <c r="BJ99" s="387">
        <f t="shared" si="52"/>
        <v>0</v>
      </c>
      <c r="BK99" s="387">
        <f t="shared" si="53"/>
        <v>0</v>
      </c>
      <c r="BL99" s="387">
        <f t="shared" si="76"/>
        <v>0</v>
      </c>
      <c r="BM99" s="387">
        <f t="shared" si="77"/>
        <v>0</v>
      </c>
      <c r="BN99" s="387">
        <f t="shared" si="54"/>
        <v>0</v>
      </c>
      <c r="BO99" s="387">
        <f t="shared" si="55"/>
        <v>0</v>
      </c>
      <c r="BP99" s="387">
        <f t="shared" si="56"/>
        <v>0</v>
      </c>
      <c r="BQ99" s="387">
        <f t="shared" si="57"/>
        <v>0</v>
      </c>
      <c r="BR99" s="387">
        <f t="shared" si="58"/>
        <v>0</v>
      </c>
      <c r="BS99" s="387">
        <f t="shared" si="59"/>
        <v>0</v>
      </c>
      <c r="BT99" s="387">
        <f t="shared" si="60"/>
        <v>0</v>
      </c>
      <c r="BU99" s="387">
        <f t="shared" si="61"/>
        <v>0</v>
      </c>
      <c r="BV99" s="387">
        <f t="shared" si="62"/>
        <v>0</v>
      </c>
      <c r="BW99" s="387">
        <f t="shared" si="63"/>
        <v>0</v>
      </c>
      <c r="BX99" s="387">
        <f t="shared" si="78"/>
        <v>0</v>
      </c>
      <c r="BY99" s="387">
        <f t="shared" si="79"/>
        <v>0</v>
      </c>
      <c r="BZ99" s="387">
        <f t="shared" si="80"/>
        <v>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0</v>
      </c>
      <c r="CE99" s="387">
        <f t="shared" si="66"/>
        <v>0</v>
      </c>
      <c r="CF99" s="387">
        <f t="shared" si="67"/>
        <v>0</v>
      </c>
      <c r="CG99" s="387">
        <f t="shared" si="68"/>
        <v>0</v>
      </c>
      <c r="CH99" s="387">
        <f t="shared" si="69"/>
        <v>0</v>
      </c>
      <c r="CI99" s="387">
        <f t="shared" si="70"/>
        <v>0</v>
      </c>
      <c r="CJ99" s="387">
        <f t="shared" si="83"/>
        <v>0</v>
      </c>
      <c r="CK99" s="387" t="str">
        <f t="shared" si="84"/>
        <v/>
      </c>
      <c r="CL99" s="387">
        <f t="shared" si="85"/>
        <v>2562.5</v>
      </c>
      <c r="CM99" s="387">
        <f t="shared" si="86"/>
        <v>715.88</v>
      </c>
      <c r="CN99" s="387" t="str">
        <f t="shared" si="87"/>
        <v>0450-26</v>
      </c>
    </row>
    <row r="100" spans="1:92" ht="15.75" thickBot="1" x14ac:dyDescent="0.3">
      <c r="A100" s="376" t="s">
        <v>161</v>
      </c>
      <c r="B100" s="376" t="s">
        <v>162</v>
      </c>
      <c r="C100" s="376" t="s">
        <v>548</v>
      </c>
      <c r="D100" s="376" t="s">
        <v>524</v>
      </c>
      <c r="E100" s="376" t="s">
        <v>251</v>
      </c>
      <c r="F100" s="382" t="s">
        <v>407</v>
      </c>
      <c r="G100" s="376" t="s">
        <v>267</v>
      </c>
      <c r="H100" s="378"/>
      <c r="I100" s="378"/>
      <c r="J100" s="376" t="s">
        <v>186</v>
      </c>
      <c r="K100" s="376" t="s">
        <v>525</v>
      </c>
      <c r="L100" s="376" t="s">
        <v>526</v>
      </c>
      <c r="M100" s="376" t="s">
        <v>171</v>
      </c>
      <c r="N100" s="376" t="s">
        <v>172</v>
      </c>
      <c r="O100" s="379">
        <v>1</v>
      </c>
      <c r="P100" s="385">
        <v>1</v>
      </c>
      <c r="Q100" s="385">
        <v>1</v>
      </c>
      <c r="R100" s="380">
        <v>80</v>
      </c>
      <c r="S100" s="385">
        <v>1</v>
      </c>
      <c r="T100" s="380">
        <v>35586.620000000003</v>
      </c>
      <c r="U100" s="380">
        <v>255.75</v>
      </c>
      <c r="V100" s="380">
        <v>20264.009999999998</v>
      </c>
      <c r="W100" s="380">
        <v>36524.800000000003</v>
      </c>
      <c r="X100" s="380">
        <v>19866.95</v>
      </c>
      <c r="Y100" s="380">
        <v>36524.800000000003</v>
      </c>
      <c r="Z100" s="380">
        <v>19687.98</v>
      </c>
      <c r="AA100" s="376" t="s">
        <v>549</v>
      </c>
      <c r="AB100" s="376" t="s">
        <v>550</v>
      </c>
      <c r="AC100" s="376" t="s">
        <v>299</v>
      </c>
      <c r="AD100" s="376" t="s">
        <v>170</v>
      </c>
      <c r="AE100" s="376" t="s">
        <v>525</v>
      </c>
      <c r="AF100" s="376" t="s">
        <v>529</v>
      </c>
      <c r="AG100" s="376" t="s">
        <v>178</v>
      </c>
      <c r="AH100" s="381">
        <v>17.559999999999999</v>
      </c>
      <c r="AI100" s="381">
        <v>71748.7</v>
      </c>
      <c r="AJ100" s="376" t="s">
        <v>179</v>
      </c>
      <c r="AK100" s="376" t="s">
        <v>180</v>
      </c>
      <c r="AL100" s="376" t="s">
        <v>181</v>
      </c>
      <c r="AM100" s="376" t="s">
        <v>182</v>
      </c>
      <c r="AN100" s="376" t="s">
        <v>68</v>
      </c>
      <c r="AO100" s="379">
        <v>80</v>
      </c>
      <c r="AP100" s="385">
        <v>1</v>
      </c>
      <c r="AQ100" s="385">
        <v>1</v>
      </c>
      <c r="AR100" s="383" t="s">
        <v>183</v>
      </c>
      <c r="AS100" s="387">
        <f t="shared" si="71"/>
        <v>1</v>
      </c>
      <c r="AT100">
        <f t="shared" si="72"/>
        <v>1</v>
      </c>
      <c r="AU100" s="387">
        <f>IF(AT100=0,"",IF(AND(AT100=1,M100="F",SUMIF(C2:C206,C100,AS2:AS206)&lt;=1),SUMIF(C2:C206,C100,AS2:AS206),IF(AND(AT100=1,M100="F",SUMIF(C2:C206,C100,AS2:AS206)&gt;1),1,"")))</f>
        <v>1</v>
      </c>
      <c r="AV100" s="387" t="str">
        <f>IF(AT100=0,"",IF(AND(AT100=3,M100="F",SUMIF(C2:C206,C100,AS2:AS206)&lt;=1),SUMIF(C2:C206,C100,AS2:AS206),IF(AND(AT100=3,M100="F",SUMIF(C2:C206,C100,AS2:AS206)&gt;1),1,"")))</f>
        <v/>
      </c>
      <c r="AW100" s="387">
        <f>SUMIF(C2:C206,C100,O2:O206)</f>
        <v>1</v>
      </c>
      <c r="AX100" s="387">
        <f>IF(AND(M100="F",AS100&lt;&gt;0),SUMIF(C2:C206,C100,W2:W206),0)</f>
        <v>36524.800000000003</v>
      </c>
      <c r="AY100" s="387">
        <f t="shared" si="73"/>
        <v>36524.800000000003</v>
      </c>
      <c r="AZ100" s="387" t="str">
        <f t="shared" si="74"/>
        <v/>
      </c>
      <c r="BA100" s="387">
        <f t="shared" si="75"/>
        <v>0</v>
      </c>
      <c r="BB100" s="387">
        <f t="shared" si="44"/>
        <v>11650</v>
      </c>
      <c r="BC100" s="387">
        <f t="shared" si="45"/>
        <v>0</v>
      </c>
      <c r="BD100" s="387">
        <f t="shared" si="46"/>
        <v>2264.5376000000001</v>
      </c>
      <c r="BE100" s="387">
        <f t="shared" si="47"/>
        <v>529.60960000000011</v>
      </c>
      <c r="BF100" s="387">
        <f t="shared" si="48"/>
        <v>4361.0611200000003</v>
      </c>
      <c r="BG100" s="387">
        <f t="shared" si="49"/>
        <v>263.34380800000002</v>
      </c>
      <c r="BH100" s="387">
        <f t="shared" si="50"/>
        <v>178.97152</v>
      </c>
      <c r="BI100" s="387">
        <f t="shared" si="51"/>
        <v>111.765888</v>
      </c>
      <c r="BJ100" s="387">
        <f t="shared" si="52"/>
        <v>507.69472000000002</v>
      </c>
      <c r="BK100" s="387">
        <f t="shared" si="53"/>
        <v>0</v>
      </c>
      <c r="BL100" s="387">
        <f t="shared" si="76"/>
        <v>8216.9842559999997</v>
      </c>
      <c r="BM100" s="387">
        <f t="shared" si="77"/>
        <v>0</v>
      </c>
      <c r="BN100" s="387">
        <f t="shared" si="54"/>
        <v>11650</v>
      </c>
      <c r="BO100" s="387">
        <f t="shared" si="55"/>
        <v>0</v>
      </c>
      <c r="BP100" s="387">
        <f t="shared" si="56"/>
        <v>2264.5376000000001</v>
      </c>
      <c r="BQ100" s="387">
        <f t="shared" si="57"/>
        <v>529.60960000000011</v>
      </c>
      <c r="BR100" s="387">
        <f t="shared" si="58"/>
        <v>4361.0611200000003</v>
      </c>
      <c r="BS100" s="387">
        <f t="shared" si="59"/>
        <v>263.34380800000002</v>
      </c>
      <c r="BT100" s="387">
        <f t="shared" si="60"/>
        <v>0</v>
      </c>
      <c r="BU100" s="387">
        <f t="shared" si="61"/>
        <v>111.765888</v>
      </c>
      <c r="BV100" s="387">
        <f t="shared" si="62"/>
        <v>507.69472000000002</v>
      </c>
      <c r="BW100" s="387">
        <f t="shared" si="63"/>
        <v>0</v>
      </c>
      <c r="BX100" s="387">
        <f t="shared" si="78"/>
        <v>8038.0127360000006</v>
      </c>
      <c r="BY100" s="387">
        <f t="shared" si="79"/>
        <v>0</v>
      </c>
      <c r="BZ100" s="387">
        <f t="shared" si="80"/>
        <v>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0</v>
      </c>
      <c r="CE100" s="387">
        <f t="shared" si="66"/>
        <v>0</v>
      </c>
      <c r="CF100" s="387">
        <f t="shared" si="67"/>
        <v>-178.97152</v>
      </c>
      <c r="CG100" s="387">
        <f t="shared" si="68"/>
        <v>0</v>
      </c>
      <c r="CH100" s="387">
        <f t="shared" si="69"/>
        <v>0</v>
      </c>
      <c r="CI100" s="387">
        <f t="shared" si="70"/>
        <v>0</v>
      </c>
      <c r="CJ100" s="387">
        <f t="shared" si="83"/>
        <v>-178.97152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0450-26</v>
      </c>
    </row>
    <row r="101" spans="1:92" ht="15.75" thickBot="1" x14ac:dyDescent="0.3">
      <c r="A101" s="376" t="s">
        <v>161</v>
      </c>
      <c r="B101" s="376" t="s">
        <v>162</v>
      </c>
      <c r="C101" s="376" t="s">
        <v>551</v>
      </c>
      <c r="D101" s="376" t="s">
        <v>552</v>
      </c>
      <c r="E101" s="376" t="s">
        <v>251</v>
      </c>
      <c r="F101" s="382" t="s">
        <v>407</v>
      </c>
      <c r="G101" s="376" t="s">
        <v>267</v>
      </c>
      <c r="H101" s="378"/>
      <c r="I101" s="378"/>
      <c r="J101" s="376" t="s">
        <v>186</v>
      </c>
      <c r="K101" s="376" t="s">
        <v>553</v>
      </c>
      <c r="L101" s="376" t="s">
        <v>441</v>
      </c>
      <c r="M101" s="376" t="s">
        <v>171</v>
      </c>
      <c r="N101" s="376" t="s">
        <v>172</v>
      </c>
      <c r="O101" s="379">
        <v>1</v>
      </c>
      <c r="P101" s="385">
        <v>1</v>
      </c>
      <c r="Q101" s="385">
        <v>1</v>
      </c>
      <c r="R101" s="380">
        <v>80</v>
      </c>
      <c r="S101" s="385">
        <v>1</v>
      </c>
      <c r="T101" s="380">
        <v>47574.400000000001</v>
      </c>
      <c r="U101" s="380">
        <v>0</v>
      </c>
      <c r="V101" s="380">
        <v>22481.29</v>
      </c>
      <c r="W101" s="380">
        <v>49046.400000000001</v>
      </c>
      <c r="X101" s="380">
        <v>22683.94</v>
      </c>
      <c r="Y101" s="380">
        <v>49046.400000000001</v>
      </c>
      <c r="Z101" s="380">
        <v>22443.62</v>
      </c>
      <c r="AA101" s="376" t="s">
        <v>554</v>
      </c>
      <c r="AB101" s="376" t="s">
        <v>555</v>
      </c>
      <c r="AC101" s="376" t="s">
        <v>347</v>
      </c>
      <c r="AD101" s="376" t="s">
        <v>556</v>
      </c>
      <c r="AE101" s="376" t="s">
        <v>553</v>
      </c>
      <c r="AF101" s="376" t="s">
        <v>445</v>
      </c>
      <c r="AG101" s="376" t="s">
        <v>178</v>
      </c>
      <c r="AH101" s="381">
        <v>23.58</v>
      </c>
      <c r="AI101" s="381">
        <v>17184.5</v>
      </c>
      <c r="AJ101" s="376" t="s">
        <v>179</v>
      </c>
      <c r="AK101" s="376" t="s">
        <v>180</v>
      </c>
      <c r="AL101" s="376" t="s">
        <v>181</v>
      </c>
      <c r="AM101" s="376" t="s">
        <v>182</v>
      </c>
      <c r="AN101" s="376" t="s">
        <v>68</v>
      </c>
      <c r="AO101" s="379">
        <v>80</v>
      </c>
      <c r="AP101" s="385">
        <v>1</v>
      </c>
      <c r="AQ101" s="385">
        <v>1</v>
      </c>
      <c r="AR101" s="383" t="s">
        <v>183</v>
      </c>
      <c r="AS101" s="387">
        <f t="shared" si="71"/>
        <v>1</v>
      </c>
      <c r="AT101">
        <f t="shared" si="72"/>
        <v>1</v>
      </c>
      <c r="AU101" s="387">
        <f>IF(AT101=0,"",IF(AND(AT101=1,M101="F",SUMIF(C2:C206,C101,AS2:AS206)&lt;=1),SUMIF(C2:C206,C101,AS2:AS206),IF(AND(AT101=1,M101="F",SUMIF(C2:C206,C101,AS2:AS206)&gt;1),1,"")))</f>
        <v>1</v>
      </c>
      <c r="AV101" s="387" t="str">
        <f>IF(AT101=0,"",IF(AND(AT101=3,M101="F",SUMIF(C2:C206,C101,AS2:AS206)&lt;=1),SUMIF(C2:C206,C101,AS2:AS206),IF(AND(AT101=3,M101="F",SUMIF(C2:C206,C101,AS2:AS206)&gt;1),1,"")))</f>
        <v/>
      </c>
      <c r="AW101" s="387">
        <f>SUMIF(C2:C206,C101,O2:O206)</f>
        <v>1</v>
      </c>
      <c r="AX101" s="387">
        <f>IF(AND(M101="F",AS101&lt;&gt;0),SUMIF(C2:C206,C101,W2:W206),0)</f>
        <v>49046.400000000001</v>
      </c>
      <c r="AY101" s="387">
        <f t="shared" si="73"/>
        <v>49046.400000000001</v>
      </c>
      <c r="AZ101" s="387" t="str">
        <f t="shared" si="74"/>
        <v/>
      </c>
      <c r="BA101" s="387">
        <f t="shared" si="75"/>
        <v>0</v>
      </c>
      <c r="BB101" s="387">
        <f t="shared" si="44"/>
        <v>11650</v>
      </c>
      <c r="BC101" s="387">
        <f t="shared" si="45"/>
        <v>0</v>
      </c>
      <c r="BD101" s="387">
        <f t="shared" si="46"/>
        <v>3040.8768</v>
      </c>
      <c r="BE101" s="387">
        <f t="shared" si="47"/>
        <v>711.17280000000005</v>
      </c>
      <c r="BF101" s="387">
        <f t="shared" si="48"/>
        <v>5856.1401600000008</v>
      </c>
      <c r="BG101" s="387">
        <f t="shared" si="49"/>
        <v>353.62454400000001</v>
      </c>
      <c r="BH101" s="387">
        <f t="shared" si="50"/>
        <v>240.32736</v>
      </c>
      <c r="BI101" s="387">
        <f t="shared" si="51"/>
        <v>150.08198400000001</v>
      </c>
      <c r="BJ101" s="387">
        <f t="shared" si="52"/>
        <v>681.74495999999999</v>
      </c>
      <c r="BK101" s="387">
        <f t="shared" si="53"/>
        <v>0</v>
      </c>
      <c r="BL101" s="387">
        <f t="shared" si="76"/>
        <v>11033.968608000001</v>
      </c>
      <c r="BM101" s="387">
        <f t="shared" si="77"/>
        <v>0</v>
      </c>
      <c r="BN101" s="387">
        <f t="shared" si="54"/>
        <v>11650</v>
      </c>
      <c r="BO101" s="387">
        <f t="shared" si="55"/>
        <v>0</v>
      </c>
      <c r="BP101" s="387">
        <f t="shared" si="56"/>
        <v>3040.8768</v>
      </c>
      <c r="BQ101" s="387">
        <f t="shared" si="57"/>
        <v>711.17280000000005</v>
      </c>
      <c r="BR101" s="387">
        <f t="shared" si="58"/>
        <v>5856.1401600000008</v>
      </c>
      <c r="BS101" s="387">
        <f t="shared" si="59"/>
        <v>353.62454400000001</v>
      </c>
      <c r="BT101" s="387">
        <f t="shared" si="60"/>
        <v>0</v>
      </c>
      <c r="BU101" s="387">
        <f t="shared" si="61"/>
        <v>150.08198400000001</v>
      </c>
      <c r="BV101" s="387">
        <f t="shared" si="62"/>
        <v>681.74495999999999</v>
      </c>
      <c r="BW101" s="387">
        <f t="shared" si="63"/>
        <v>0</v>
      </c>
      <c r="BX101" s="387">
        <f t="shared" si="78"/>
        <v>10793.641248000002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-240.32736</v>
      </c>
      <c r="CG101" s="387">
        <f t="shared" si="68"/>
        <v>0</v>
      </c>
      <c r="CH101" s="387">
        <f t="shared" si="69"/>
        <v>0</v>
      </c>
      <c r="CI101" s="387">
        <f t="shared" si="70"/>
        <v>0</v>
      </c>
      <c r="CJ101" s="387">
        <f t="shared" si="83"/>
        <v>-240.32736</v>
      </c>
      <c r="CK101" s="387" t="str">
        <f t="shared" si="84"/>
        <v/>
      </c>
      <c r="CL101" s="387" t="str">
        <f t="shared" si="85"/>
        <v/>
      </c>
      <c r="CM101" s="387" t="str">
        <f t="shared" si="86"/>
        <v/>
      </c>
      <c r="CN101" s="387" t="str">
        <f t="shared" si="87"/>
        <v>0450-26</v>
      </c>
    </row>
    <row r="102" spans="1:92" ht="15.75" thickBot="1" x14ac:dyDescent="0.3">
      <c r="A102" s="376" t="s">
        <v>161</v>
      </c>
      <c r="B102" s="376" t="s">
        <v>162</v>
      </c>
      <c r="C102" s="376" t="s">
        <v>557</v>
      </c>
      <c r="D102" s="376" t="s">
        <v>508</v>
      </c>
      <c r="E102" s="376" t="s">
        <v>251</v>
      </c>
      <c r="F102" s="382" t="s">
        <v>407</v>
      </c>
      <c r="G102" s="376" t="s">
        <v>267</v>
      </c>
      <c r="H102" s="378"/>
      <c r="I102" s="378"/>
      <c r="J102" s="376" t="s">
        <v>186</v>
      </c>
      <c r="K102" s="376" t="s">
        <v>509</v>
      </c>
      <c r="L102" s="376" t="s">
        <v>269</v>
      </c>
      <c r="M102" s="376" t="s">
        <v>171</v>
      </c>
      <c r="N102" s="376" t="s">
        <v>172</v>
      </c>
      <c r="O102" s="379">
        <v>1</v>
      </c>
      <c r="P102" s="385">
        <v>1</v>
      </c>
      <c r="Q102" s="385">
        <v>1</v>
      </c>
      <c r="R102" s="380">
        <v>80</v>
      </c>
      <c r="S102" s="385">
        <v>1</v>
      </c>
      <c r="T102" s="380">
        <v>36249.199999999997</v>
      </c>
      <c r="U102" s="380">
        <v>0</v>
      </c>
      <c r="V102" s="380">
        <v>16933.45</v>
      </c>
      <c r="W102" s="380">
        <v>55452.800000000003</v>
      </c>
      <c r="X102" s="380">
        <v>24125.18</v>
      </c>
      <c r="Y102" s="380">
        <v>55452.800000000003</v>
      </c>
      <c r="Z102" s="380">
        <v>23853.47</v>
      </c>
      <c r="AA102" s="376" t="s">
        <v>558</v>
      </c>
      <c r="AB102" s="376" t="s">
        <v>559</v>
      </c>
      <c r="AC102" s="376" t="s">
        <v>515</v>
      </c>
      <c r="AD102" s="376" t="s">
        <v>560</v>
      </c>
      <c r="AE102" s="376" t="s">
        <v>509</v>
      </c>
      <c r="AF102" s="376" t="s">
        <v>274</v>
      </c>
      <c r="AG102" s="376" t="s">
        <v>178</v>
      </c>
      <c r="AH102" s="381">
        <v>26.66</v>
      </c>
      <c r="AI102" s="379">
        <v>1472</v>
      </c>
      <c r="AJ102" s="376" t="s">
        <v>179</v>
      </c>
      <c r="AK102" s="376" t="s">
        <v>180</v>
      </c>
      <c r="AL102" s="376" t="s">
        <v>181</v>
      </c>
      <c r="AM102" s="376" t="s">
        <v>182</v>
      </c>
      <c r="AN102" s="376" t="s">
        <v>68</v>
      </c>
      <c r="AO102" s="379">
        <v>80</v>
      </c>
      <c r="AP102" s="385">
        <v>1</v>
      </c>
      <c r="AQ102" s="385">
        <v>1</v>
      </c>
      <c r="AR102" s="383" t="s">
        <v>183</v>
      </c>
      <c r="AS102" s="387">
        <f t="shared" si="71"/>
        <v>1</v>
      </c>
      <c r="AT102">
        <f t="shared" si="72"/>
        <v>1</v>
      </c>
      <c r="AU102" s="387">
        <f>IF(AT102=0,"",IF(AND(AT102=1,M102="F",SUMIF(C2:C206,C102,AS2:AS206)&lt;=1),SUMIF(C2:C206,C102,AS2:AS206),IF(AND(AT102=1,M102="F",SUMIF(C2:C206,C102,AS2:AS206)&gt;1),1,"")))</f>
        <v>1</v>
      </c>
      <c r="AV102" s="387" t="str">
        <f>IF(AT102=0,"",IF(AND(AT102=3,M102="F",SUMIF(C2:C206,C102,AS2:AS206)&lt;=1),SUMIF(C2:C206,C102,AS2:AS206),IF(AND(AT102=3,M102="F",SUMIF(C2:C206,C102,AS2:AS206)&gt;1),1,"")))</f>
        <v/>
      </c>
      <c r="AW102" s="387">
        <f>SUMIF(C2:C206,C102,O2:O206)</f>
        <v>1</v>
      </c>
      <c r="AX102" s="387">
        <f>IF(AND(M102="F",AS102&lt;&gt;0),SUMIF(C2:C206,C102,W2:W206),0)</f>
        <v>55452.800000000003</v>
      </c>
      <c r="AY102" s="387">
        <f t="shared" si="73"/>
        <v>55452.800000000003</v>
      </c>
      <c r="AZ102" s="387" t="str">
        <f t="shared" si="74"/>
        <v/>
      </c>
      <c r="BA102" s="387">
        <f t="shared" si="75"/>
        <v>0</v>
      </c>
      <c r="BB102" s="387">
        <f t="shared" si="44"/>
        <v>11650</v>
      </c>
      <c r="BC102" s="387">
        <f t="shared" si="45"/>
        <v>0</v>
      </c>
      <c r="BD102" s="387">
        <f t="shared" si="46"/>
        <v>3438.0736000000002</v>
      </c>
      <c r="BE102" s="387">
        <f t="shared" si="47"/>
        <v>804.06560000000013</v>
      </c>
      <c r="BF102" s="387">
        <f t="shared" si="48"/>
        <v>6621.0643200000004</v>
      </c>
      <c r="BG102" s="387">
        <f t="shared" si="49"/>
        <v>399.81468800000005</v>
      </c>
      <c r="BH102" s="387">
        <f t="shared" si="50"/>
        <v>271.71872000000002</v>
      </c>
      <c r="BI102" s="387">
        <f t="shared" si="51"/>
        <v>169.68556799999999</v>
      </c>
      <c r="BJ102" s="387">
        <f t="shared" si="52"/>
        <v>770.79391999999996</v>
      </c>
      <c r="BK102" s="387">
        <f t="shared" si="53"/>
        <v>0</v>
      </c>
      <c r="BL102" s="387">
        <f t="shared" si="76"/>
        <v>12475.216416000003</v>
      </c>
      <c r="BM102" s="387">
        <f t="shared" si="77"/>
        <v>0</v>
      </c>
      <c r="BN102" s="387">
        <f t="shared" si="54"/>
        <v>11650</v>
      </c>
      <c r="BO102" s="387">
        <f t="shared" si="55"/>
        <v>0</v>
      </c>
      <c r="BP102" s="387">
        <f t="shared" si="56"/>
        <v>3438.0736000000002</v>
      </c>
      <c r="BQ102" s="387">
        <f t="shared" si="57"/>
        <v>804.06560000000013</v>
      </c>
      <c r="BR102" s="387">
        <f t="shared" si="58"/>
        <v>6621.0643200000004</v>
      </c>
      <c r="BS102" s="387">
        <f t="shared" si="59"/>
        <v>399.81468800000005</v>
      </c>
      <c r="BT102" s="387">
        <f t="shared" si="60"/>
        <v>0</v>
      </c>
      <c r="BU102" s="387">
        <f t="shared" si="61"/>
        <v>169.68556799999999</v>
      </c>
      <c r="BV102" s="387">
        <f t="shared" si="62"/>
        <v>770.79391999999996</v>
      </c>
      <c r="BW102" s="387">
        <f t="shared" si="63"/>
        <v>0</v>
      </c>
      <c r="BX102" s="387">
        <f t="shared" si="78"/>
        <v>12203.497696000002</v>
      </c>
      <c r="BY102" s="387">
        <f t="shared" si="79"/>
        <v>0</v>
      </c>
      <c r="BZ102" s="387">
        <f t="shared" si="80"/>
        <v>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0</v>
      </c>
      <c r="CE102" s="387">
        <f t="shared" si="66"/>
        <v>0</v>
      </c>
      <c r="CF102" s="387">
        <f t="shared" si="67"/>
        <v>-271.71872000000002</v>
      </c>
      <c r="CG102" s="387">
        <f t="shared" si="68"/>
        <v>0</v>
      </c>
      <c r="CH102" s="387">
        <f t="shared" si="69"/>
        <v>0</v>
      </c>
      <c r="CI102" s="387">
        <f t="shared" si="70"/>
        <v>0</v>
      </c>
      <c r="CJ102" s="387">
        <f t="shared" si="83"/>
        <v>-271.71872000000002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0450-26</v>
      </c>
    </row>
    <row r="103" spans="1:92" ht="15.75" thickBot="1" x14ac:dyDescent="0.3">
      <c r="A103" s="376" t="s">
        <v>161</v>
      </c>
      <c r="B103" s="376" t="s">
        <v>162</v>
      </c>
      <c r="C103" s="376" t="s">
        <v>561</v>
      </c>
      <c r="D103" s="376" t="s">
        <v>406</v>
      </c>
      <c r="E103" s="376" t="s">
        <v>251</v>
      </c>
      <c r="F103" s="382" t="s">
        <v>407</v>
      </c>
      <c r="G103" s="376" t="s">
        <v>267</v>
      </c>
      <c r="H103" s="378"/>
      <c r="I103" s="378"/>
      <c r="J103" s="376" t="s">
        <v>186</v>
      </c>
      <c r="K103" s="376" t="s">
        <v>408</v>
      </c>
      <c r="L103" s="376" t="s">
        <v>269</v>
      </c>
      <c r="M103" s="376" t="s">
        <v>171</v>
      </c>
      <c r="N103" s="376" t="s">
        <v>172</v>
      </c>
      <c r="O103" s="379">
        <v>1</v>
      </c>
      <c r="P103" s="385">
        <v>1</v>
      </c>
      <c r="Q103" s="385">
        <v>1</v>
      </c>
      <c r="R103" s="380">
        <v>80</v>
      </c>
      <c r="S103" s="385">
        <v>1</v>
      </c>
      <c r="T103" s="380">
        <v>53043.31</v>
      </c>
      <c r="U103" s="380">
        <v>0</v>
      </c>
      <c r="V103" s="380">
        <v>23710.16</v>
      </c>
      <c r="W103" s="380">
        <v>55723.199999999997</v>
      </c>
      <c r="X103" s="380">
        <v>24186.02</v>
      </c>
      <c r="Y103" s="380">
        <v>55723.199999999997</v>
      </c>
      <c r="Z103" s="380">
        <v>23912.98</v>
      </c>
      <c r="AA103" s="376" t="s">
        <v>562</v>
      </c>
      <c r="AB103" s="376" t="s">
        <v>563</v>
      </c>
      <c r="AC103" s="376" t="s">
        <v>347</v>
      </c>
      <c r="AD103" s="376" t="s">
        <v>564</v>
      </c>
      <c r="AE103" s="376" t="s">
        <v>408</v>
      </c>
      <c r="AF103" s="376" t="s">
        <v>274</v>
      </c>
      <c r="AG103" s="376" t="s">
        <v>178</v>
      </c>
      <c r="AH103" s="381">
        <v>26.79</v>
      </c>
      <c r="AI103" s="381">
        <v>3587.5</v>
      </c>
      <c r="AJ103" s="376" t="s">
        <v>179</v>
      </c>
      <c r="AK103" s="376" t="s">
        <v>180</v>
      </c>
      <c r="AL103" s="376" t="s">
        <v>181</v>
      </c>
      <c r="AM103" s="376" t="s">
        <v>182</v>
      </c>
      <c r="AN103" s="376" t="s">
        <v>68</v>
      </c>
      <c r="AO103" s="379">
        <v>80</v>
      </c>
      <c r="AP103" s="385">
        <v>1</v>
      </c>
      <c r="AQ103" s="385">
        <v>1</v>
      </c>
      <c r="AR103" s="383" t="s">
        <v>183</v>
      </c>
      <c r="AS103" s="387">
        <f t="shared" si="71"/>
        <v>1</v>
      </c>
      <c r="AT103">
        <f t="shared" si="72"/>
        <v>1</v>
      </c>
      <c r="AU103" s="387">
        <f>IF(AT103=0,"",IF(AND(AT103=1,M103="F",SUMIF(C2:C206,C103,AS2:AS206)&lt;=1),SUMIF(C2:C206,C103,AS2:AS206),IF(AND(AT103=1,M103="F",SUMIF(C2:C206,C103,AS2:AS206)&gt;1),1,"")))</f>
        <v>1</v>
      </c>
      <c r="AV103" s="387" t="str">
        <f>IF(AT103=0,"",IF(AND(AT103=3,M103="F",SUMIF(C2:C206,C103,AS2:AS206)&lt;=1),SUMIF(C2:C206,C103,AS2:AS206),IF(AND(AT103=3,M103="F",SUMIF(C2:C206,C103,AS2:AS206)&gt;1),1,"")))</f>
        <v/>
      </c>
      <c r="AW103" s="387">
        <f>SUMIF(C2:C206,C103,O2:O206)</f>
        <v>1</v>
      </c>
      <c r="AX103" s="387">
        <f>IF(AND(M103="F",AS103&lt;&gt;0),SUMIF(C2:C206,C103,W2:W206),0)</f>
        <v>55723.199999999997</v>
      </c>
      <c r="AY103" s="387">
        <f t="shared" si="73"/>
        <v>55723.199999999997</v>
      </c>
      <c r="AZ103" s="387" t="str">
        <f t="shared" si="74"/>
        <v/>
      </c>
      <c r="BA103" s="387">
        <f t="shared" si="75"/>
        <v>0</v>
      </c>
      <c r="BB103" s="387">
        <f t="shared" si="44"/>
        <v>11650</v>
      </c>
      <c r="BC103" s="387">
        <f t="shared" si="45"/>
        <v>0</v>
      </c>
      <c r="BD103" s="387">
        <f t="shared" si="46"/>
        <v>3454.8383999999996</v>
      </c>
      <c r="BE103" s="387">
        <f t="shared" si="47"/>
        <v>807.9864</v>
      </c>
      <c r="BF103" s="387">
        <f t="shared" si="48"/>
        <v>6653.3500800000002</v>
      </c>
      <c r="BG103" s="387">
        <f t="shared" si="49"/>
        <v>401.76427200000001</v>
      </c>
      <c r="BH103" s="387">
        <f t="shared" si="50"/>
        <v>273.04367999999999</v>
      </c>
      <c r="BI103" s="387">
        <f t="shared" si="51"/>
        <v>170.51299199999997</v>
      </c>
      <c r="BJ103" s="387">
        <f t="shared" si="52"/>
        <v>774.55247999999995</v>
      </c>
      <c r="BK103" s="387">
        <f t="shared" si="53"/>
        <v>0</v>
      </c>
      <c r="BL103" s="387">
        <f t="shared" si="76"/>
        <v>12536.048304</v>
      </c>
      <c r="BM103" s="387">
        <f t="shared" si="77"/>
        <v>0</v>
      </c>
      <c r="BN103" s="387">
        <f t="shared" si="54"/>
        <v>11650</v>
      </c>
      <c r="BO103" s="387">
        <f t="shared" si="55"/>
        <v>0</v>
      </c>
      <c r="BP103" s="387">
        <f t="shared" si="56"/>
        <v>3454.8383999999996</v>
      </c>
      <c r="BQ103" s="387">
        <f t="shared" si="57"/>
        <v>807.9864</v>
      </c>
      <c r="BR103" s="387">
        <f t="shared" si="58"/>
        <v>6653.3500800000002</v>
      </c>
      <c r="BS103" s="387">
        <f t="shared" si="59"/>
        <v>401.76427200000001</v>
      </c>
      <c r="BT103" s="387">
        <f t="shared" si="60"/>
        <v>0</v>
      </c>
      <c r="BU103" s="387">
        <f t="shared" si="61"/>
        <v>170.51299199999997</v>
      </c>
      <c r="BV103" s="387">
        <f t="shared" si="62"/>
        <v>774.55247999999995</v>
      </c>
      <c r="BW103" s="387">
        <f t="shared" si="63"/>
        <v>0</v>
      </c>
      <c r="BX103" s="387">
        <f t="shared" si="78"/>
        <v>12263.004623999999</v>
      </c>
      <c r="BY103" s="387">
        <f t="shared" si="79"/>
        <v>0</v>
      </c>
      <c r="BZ103" s="387">
        <f t="shared" si="80"/>
        <v>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0</v>
      </c>
      <c r="CE103" s="387">
        <f t="shared" si="66"/>
        <v>0</v>
      </c>
      <c r="CF103" s="387">
        <f t="shared" si="67"/>
        <v>-273.04367999999999</v>
      </c>
      <c r="CG103" s="387">
        <f t="shared" si="68"/>
        <v>0</v>
      </c>
      <c r="CH103" s="387">
        <f t="shared" si="69"/>
        <v>0</v>
      </c>
      <c r="CI103" s="387">
        <f t="shared" si="70"/>
        <v>0</v>
      </c>
      <c r="CJ103" s="387">
        <f t="shared" si="83"/>
        <v>-273.04367999999999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0450-26</v>
      </c>
    </row>
    <row r="104" spans="1:92" ht="15.75" thickBot="1" x14ac:dyDescent="0.3">
      <c r="A104" s="376" t="s">
        <v>161</v>
      </c>
      <c r="B104" s="376" t="s">
        <v>162</v>
      </c>
      <c r="C104" s="376" t="s">
        <v>565</v>
      </c>
      <c r="D104" s="376" t="s">
        <v>205</v>
      </c>
      <c r="E104" s="376" t="s">
        <v>251</v>
      </c>
      <c r="F104" s="382" t="s">
        <v>407</v>
      </c>
      <c r="G104" s="376" t="s">
        <v>267</v>
      </c>
      <c r="H104" s="378"/>
      <c r="I104" s="378"/>
      <c r="J104" s="376" t="s">
        <v>186</v>
      </c>
      <c r="K104" s="376" t="s">
        <v>206</v>
      </c>
      <c r="L104" s="376" t="s">
        <v>166</v>
      </c>
      <c r="M104" s="376" t="s">
        <v>171</v>
      </c>
      <c r="N104" s="376" t="s">
        <v>208</v>
      </c>
      <c r="O104" s="379">
        <v>0</v>
      </c>
      <c r="P104" s="385">
        <v>1</v>
      </c>
      <c r="Q104" s="385">
        <v>0</v>
      </c>
      <c r="R104" s="380">
        <v>0</v>
      </c>
      <c r="S104" s="385">
        <v>0</v>
      </c>
      <c r="T104" s="380">
        <v>6229.65</v>
      </c>
      <c r="U104" s="380">
        <v>0</v>
      </c>
      <c r="V104" s="380">
        <v>1779.78</v>
      </c>
      <c r="W104" s="380">
        <v>6229.65</v>
      </c>
      <c r="X104" s="380">
        <v>1779.78</v>
      </c>
      <c r="Y104" s="380">
        <v>6229.65</v>
      </c>
      <c r="Z104" s="380">
        <v>1779.78</v>
      </c>
      <c r="AA104" s="378"/>
      <c r="AB104" s="376" t="s">
        <v>45</v>
      </c>
      <c r="AC104" s="376" t="s">
        <v>45</v>
      </c>
      <c r="AD104" s="378"/>
      <c r="AE104" s="378"/>
      <c r="AF104" s="378"/>
      <c r="AG104" s="378"/>
      <c r="AH104" s="379">
        <v>0</v>
      </c>
      <c r="AI104" s="379">
        <v>0</v>
      </c>
      <c r="AJ104" s="378"/>
      <c r="AK104" s="378"/>
      <c r="AL104" s="376" t="s">
        <v>181</v>
      </c>
      <c r="AM104" s="378"/>
      <c r="AN104" s="378"/>
      <c r="AO104" s="379">
        <v>0</v>
      </c>
      <c r="AP104" s="385">
        <v>0</v>
      </c>
      <c r="AQ104" s="385">
        <v>0</v>
      </c>
      <c r="AR104" s="384"/>
      <c r="AS104" s="387">
        <f t="shared" si="71"/>
        <v>0</v>
      </c>
      <c r="AT104">
        <f t="shared" si="72"/>
        <v>0</v>
      </c>
      <c r="AU104" s="387" t="str">
        <f>IF(AT104=0,"",IF(AND(AT104=1,M104="F",SUMIF(C2:C206,C104,AS2:AS206)&lt;=1),SUMIF(C2:C206,C104,AS2:AS206),IF(AND(AT104=1,M104="F",SUMIF(C2:C206,C104,AS2:AS206)&gt;1),1,"")))</f>
        <v/>
      </c>
      <c r="AV104" s="387" t="str">
        <f>IF(AT104=0,"",IF(AND(AT104=3,M104="F",SUMIF(C2:C206,C104,AS2:AS206)&lt;=1),SUMIF(C2:C206,C104,AS2:AS206),IF(AND(AT104=3,M104="F",SUMIF(C2:C206,C104,AS2:AS206)&gt;1),1,"")))</f>
        <v/>
      </c>
      <c r="AW104" s="387">
        <f>SUMIF(C2:C206,C104,O2:O206)</f>
        <v>0</v>
      </c>
      <c r="AX104" s="387">
        <f>IF(AND(M104="F",AS104&lt;&gt;0),SUMIF(C2:C206,C104,W2:W206),0)</f>
        <v>0</v>
      </c>
      <c r="AY104" s="387" t="str">
        <f t="shared" si="73"/>
        <v/>
      </c>
      <c r="AZ104" s="387" t="str">
        <f t="shared" si="74"/>
        <v/>
      </c>
      <c r="BA104" s="387">
        <f t="shared" si="75"/>
        <v>0</v>
      </c>
      <c r="BB104" s="387">
        <f t="shared" si="44"/>
        <v>0</v>
      </c>
      <c r="BC104" s="387">
        <f t="shared" si="45"/>
        <v>0</v>
      </c>
      <c r="BD104" s="387">
        <f t="shared" si="46"/>
        <v>0</v>
      </c>
      <c r="BE104" s="387">
        <f t="shared" si="47"/>
        <v>0</v>
      </c>
      <c r="BF104" s="387">
        <f t="shared" si="48"/>
        <v>0</v>
      </c>
      <c r="BG104" s="387">
        <f t="shared" si="49"/>
        <v>0</v>
      </c>
      <c r="BH104" s="387">
        <f t="shared" si="50"/>
        <v>0</v>
      </c>
      <c r="BI104" s="387">
        <f t="shared" si="51"/>
        <v>0</v>
      </c>
      <c r="BJ104" s="387">
        <f t="shared" si="52"/>
        <v>0</v>
      </c>
      <c r="BK104" s="387">
        <f t="shared" si="53"/>
        <v>0</v>
      </c>
      <c r="BL104" s="387">
        <f t="shared" si="76"/>
        <v>0</v>
      </c>
      <c r="BM104" s="387">
        <f t="shared" si="77"/>
        <v>0</v>
      </c>
      <c r="BN104" s="387">
        <f t="shared" si="54"/>
        <v>0</v>
      </c>
      <c r="BO104" s="387">
        <f t="shared" si="55"/>
        <v>0</v>
      </c>
      <c r="BP104" s="387">
        <f t="shared" si="56"/>
        <v>0</v>
      </c>
      <c r="BQ104" s="387">
        <f t="shared" si="57"/>
        <v>0</v>
      </c>
      <c r="BR104" s="387">
        <f t="shared" si="58"/>
        <v>0</v>
      </c>
      <c r="BS104" s="387">
        <f t="shared" si="59"/>
        <v>0</v>
      </c>
      <c r="BT104" s="387">
        <f t="shared" si="60"/>
        <v>0</v>
      </c>
      <c r="BU104" s="387">
        <f t="shared" si="61"/>
        <v>0</v>
      </c>
      <c r="BV104" s="387">
        <f t="shared" si="62"/>
        <v>0</v>
      </c>
      <c r="BW104" s="387">
        <f t="shared" si="63"/>
        <v>0</v>
      </c>
      <c r="BX104" s="387">
        <f t="shared" si="78"/>
        <v>0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</v>
      </c>
      <c r="CI104" s="387">
        <f t="shared" si="70"/>
        <v>0</v>
      </c>
      <c r="CJ104" s="387">
        <f t="shared" si="83"/>
        <v>0</v>
      </c>
      <c r="CK104" s="387" t="str">
        <f t="shared" si="84"/>
        <v/>
      </c>
      <c r="CL104" s="387">
        <f t="shared" si="85"/>
        <v>6229.65</v>
      </c>
      <c r="CM104" s="387">
        <f t="shared" si="86"/>
        <v>1779.78</v>
      </c>
      <c r="CN104" s="387" t="str">
        <f t="shared" si="87"/>
        <v>0450-26</v>
      </c>
    </row>
    <row r="105" spans="1:92" ht="15.75" thickBot="1" x14ac:dyDescent="0.3">
      <c r="A105" s="376" t="s">
        <v>161</v>
      </c>
      <c r="B105" s="376" t="s">
        <v>162</v>
      </c>
      <c r="C105" s="376" t="s">
        <v>566</v>
      </c>
      <c r="D105" s="376" t="s">
        <v>539</v>
      </c>
      <c r="E105" s="376" t="s">
        <v>251</v>
      </c>
      <c r="F105" s="382" t="s">
        <v>407</v>
      </c>
      <c r="G105" s="376" t="s">
        <v>267</v>
      </c>
      <c r="H105" s="378"/>
      <c r="I105" s="378"/>
      <c r="J105" s="376" t="s">
        <v>186</v>
      </c>
      <c r="K105" s="376" t="s">
        <v>540</v>
      </c>
      <c r="L105" s="376" t="s">
        <v>526</v>
      </c>
      <c r="M105" s="376" t="s">
        <v>171</v>
      </c>
      <c r="N105" s="376" t="s">
        <v>172</v>
      </c>
      <c r="O105" s="379">
        <v>1</v>
      </c>
      <c r="P105" s="385">
        <v>1</v>
      </c>
      <c r="Q105" s="385">
        <v>1</v>
      </c>
      <c r="R105" s="380">
        <v>80</v>
      </c>
      <c r="S105" s="385">
        <v>1</v>
      </c>
      <c r="T105" s="380">
        <v>32932.019999999997</v>
      </c>
      <c r="U105" s="380">
        <v>0</v>
      </c>
      <c r="V105" s="380">
        <v>19679.87</v>
      </c>
      <c r="W105" s="380">
        <v>34091.199999999997</v>
      </c>
      <c r="X105" s="380">
        <v>19319.45</v>
      </c>
      <c r="Y105" s="380">
        <v>34091.199999999997</v>
      </c>
      <c r="Z105" s="380">
        <v>19152.41</v>
      </c>
      <c r="AA105" s="376" t="s">
        <v>567</v>
      </c>
      <c r="AB105" s="376" t="s">
        <v>568</v>
      </c>
      <c r="AC105" s="376" t="s">
        <v>569</v>
      </c>
      <c r="AD105" s="376" t="s">
        <v>570</v>
      </c>
      <c r="AE105" s="376" t="s">
        <v>540</v>
      </c>
      <c r="AF105" s="376" t="s">
        <v>529</v>
      </c>
      <c r="AG105" s="376" t="s">
        <v>178</v>
      </c>
      <c r="AH105" s="381">
        <v>16.39</v>
      </c>
      <c r="AI105" s="381">
        <v>36833.4</v>
      </c>
      <c r="AJ105" s="376" t="s">
        <v>179</v>
      </c>
      <c r="AK105" s="376" t="s">
        <v>180</v>
      </c>
      <c r="AL105" s="376" t="s">
        <v>181</v>
      </c>
      <c r="AM105" s="376" t="s">
        <v>182</v>
      </c>
      <c r="AN105" s="376" t="s">
        <v>68</v>
      </c>
      <c r="AO105" s="379">
        <v>80</v>
      </c>
      <c r="AP105" s="385">
        <v>1</v>
      </c>
      <c r="AQ105" s="385">
        <v>1</v>
      </c>
      <c r="AR105" s="383" t="s">
        <v>183</v>
      </c>
      <c r="AS105" s="387">
        <f t="shared" si="71"/>
        <v>1</v>
      </c>
      <c r="AT105">
        <f t="shared" si="72"/>
        <v>1</v>
      </c>
      <c r="AU105" s="387">
        <f>IF(AT105=0,"",IF(AND(AT105=1,M105="F",SUMIF(C2:C206,C105,AS2:AS206)&lt;=1),SUMIF(C2:C206,C105,AS2:AS206),IF(AND(AT105=1,M105="F",SUMIF(C2:C206,C105,AS2:AS206)&gt;1),1,"")))</f>
        <v>1</v>
      </c>
      <c r="AV105" s="387" t="str">
        <f>IF(AT105=0,"",IF(AND(AT105=3,M105="F",SUMIF(C2:C206,C105,AS2:AS206)&lt;=1),SUMIF(C2:C206,C105,AS2:AS206),IF(AND(AT105=3,M105="F",SUMIF(C2:C206,C105,AS2:AS206)&gt;1),1,"")))</f>
        <v/>
      </c>
      <c r="AW105" s="387">
        <f>SUMIF(C2:C206,C105,O2:O206)</f>
        <v>1</v>
      </c>
      <c r="AX105" s="387">
        <f>IF(AND(M105="F",AS105&lt;&gt;0),SUMIF(C2:C206,C105,W2:W206),0)</f>
        <v>34091.199999999997</v>
      </c>
      <c r="AY105" s="387">
        <f t="shared" si="73"/>
        <v>34091.199999999997</v>
      </c>
      <c r="AZ105" s="387" t="str">
        <f t="shared" si="74"/>
        <v/>
      </c>
      <c r="BA105" s="387">
        <f t="shared" si="75"/>
        <v>0</v>
      </c>
      <c r="BB105" s="387">
        <f t="shared" si="44"/>
        <v>11650</v>
      </c>
      <c r="BC105" s="387">
        <f t="shared" si="45"/>
        <v>0</v>
      </c>
      <c r="BD105" s="387">
        <f t="shared" si="46"/>
        <v>2113.6543999999999</v>
      </c>
      <c r="BE105" s="387">
        <f t="shared" si="47"/>
        <v>494.32239999999996</v>
      </c>
      <c r="BF105" s="387">
        <f t="shared" si="48"/>
        <v>4070.4892799999998</v>
      </c>
      <c r="BG105" s="387">
        <f t="shared" si="49"/>
        <v>245.797552</v>
      </c>
      <c r="BH105" s="387">
        <f t="shared" si="50"/>
        <v>167.04687999999999</v>
      </c>
      <c r="BI105" s="387">
        <f t="shared" si="51"/>
        <v>104.31907199999998</v>
      </c>
      <c r="BJ105" s="387">
        <f t="shared" si="52"/>
        <v>473.86767999999995</v>
      </c>
      <c r="BK105" s="387">
        <f t="shared" si="53"/>
        <v>0</v>
      </c>
      <c r="BL105" s="387">
        <f t="shared" si="76"/>
        <v>7669.4972640000005</v>
      </c>
      <c r="BM105" s="387">
        <f t="shared" si="77"/>
        <v>0</v>
      </c>
      <c r="BN105" s="387">
        <f t="shared" si="54"/>
        <v>11650</v>
      </c>
      <c r="BO105" s="387">
        <f t="shared" si="55"/>
        <v>0</v>
      </c>
      <c r="BP105" s="387">
        <f t="shared" si="56"/>
        <v>2113.6543999999999</v>
      </c>
      <c r="BQ105" s="387">
        <f t="shared" si="57"/>
        <v>494.32239999999996</v>
      </c>
      <c r="BR105" s="387">
        <f t="shared" si="58"/>
        <v>4070.4892799999998</v>
      </c>
      <c r="BS105" s="387">
        <f t="shared" si="59"/>
        <v>245.797552</v>
      </c>
      <c r="BT105" s="387">
        <f t="shared" si="60"/>
        <v>0</v>
      </c>
      <c r="BU105" s="387">
        <f t="shared" si="61"/>
        <v>104.31907199999998</v>
      </c>
      <c r="BV105" s="387">
        <f t="shared" si="62"/>
        <v>473.86767999999995</v>
      </c>
      <c r="BW105" s="387">
        <f t="shared" si="63"/>
        <v>0</v>
      </c>
      <c r="BX105" s="387">
        <f t="shared" si="78"/>
        <v>7502.4503840000007</v>
      </c>
      <c r="BY105" s="387">
        <f t="shared" si="79"/>
        <v>0</v>
      </c>
      <c r="BZ105" s="387">
        <f t="shared" si="80"/>
        <v>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0</v>
      </c>
      <c r="CE105" s="387">
        <f t="shared" si="66"/>
        <v>0</v>
      </c>
      <c r="CF105" s="387">
        <f t="shared" si="67"/>
        <v>-167.04687999999999</v>
      </c>
      <c r="CG105" s="387">
        <f t="shared" si="68"/>
        <v>0</v>
      </c>
      <c r="CH105" s="387">
        <f t="shared" si="69"/>
        <v>0</v>
      </c>
      <c r="CI105" s="387">
        <f t="shared" si="70"/>
        <v>0</v>
      </c>
      <c r="CJ105" s="387">
        <f t="shared" si="83"/>
        <v>-167.04687999999999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0450-26</v>
      </c>
    </row>
    <row r="106" spans="1:92" ht="15.75" thickBot="1" x14ac:dyDescent="0.3">
      <c r="A106" s="376" t="s">
        <v>161</v>
      </c>
      <c r="B106" s="376" t="s">
        <v>162</v>
      </c>
      <c r="C106" s="376" t="s">
        <v>571</v>
      </c>
      <c r="D106" s="376" t="s">
        <v>412</v>
      </c>
      <c r="E106" s="376" t="s">
        <v>251</v>
      </c>
      <c r="F106" s="382" t="s">
        <v>407</v>
      </c>
      <c r="G106" s="376" t="s">
        <v>267</v>
      </c>
      <c r="H106" s="378"/>
      <c r="I106" s="378"/>
      <c r="J106" s="376" t="s">
        <v>186</v>
      </c>
      <c r="K106" s="376" t="s">
        <v>413</v>
      </c>
      <c r="L106" s="376" t="s">
        <v>178</v>
      </c>
      <c r="M106" s="376" t="s">
        <v>171</v>
      </c>
      <c r="N106" s="376" t="s">
        <v>172</v>
      </c>
      <c r="O106" s="379">
        <v>1</v>
      </c>
      <c r="P106" s="385">
        <v>1</v>
      </c>
      <c r="Q106" s="385">
        <v>1</v>
      </c>
      <c r="R106" s="380">
        <v>80</v>
      </c>
      <c r="S106" s="385">
        <v>1</v>
      </c>
      <c r="T106" s="380">
        <v>29710.32</v>
      </c>
      <c r="U106" s="380">
        <v>0</v>
      </c>
      <c r="V106" s="380">
        <v>17782.13</v>
      </c>
      <c r="W106" s="380">
        <v>33280</v>
      </c>
      <c r="X106" s="380">
        <v>19136.98</v>
      </c>
      <c r="Y106" s="380">
        <v>33280</v>
      </c>
      <c r="Z106" s="380">
        <v>18973.91</v>
      </c>
      <c r="AA106" s="376" t="s">
        <v>572</v>
      </c>
      <c r="AB106" s="376" t="s">
        <v>573</v>
      </c>
      <c r="AC106" s="376" t="s">
        <v>351</v>
      </c>
      <c r="AD106" s="376" t="s">
        <v>249</v>
      </c>
      <c r="AE106" s="376" t="s">
        <v>413</v>
      </c>
      <c r="AF106" s="376" t="s">
        <v>250</v>
      </c>
      <c r="AG106" s="376" t="s">
        <v>178</v>
      </c>
      <c r="AH106" s="379">
        <v>16</v>
      </c>
      <c r="AI106" s="379">
        <v>320</v>
      </c>
      <c r="AJ106" s="376" t="s">
        <v>179</v>
      </c>
      <c r="AK106" s="376" t="s">
        <v>180</v>
      </c>
      <c r="AL106" s="376" t="s">
        <v>181</v>
      </c>
      <c r="AM106" s="376" t="s">
        <v>182</v>
      </c>
      <c r="AN106" s="376" t="s">
        <v>68</v>
      </c>
      <c r="AO106" s="379">
        <v>80</v>
      </c>
      <c r="AP106" s="385">
        <v>1</v>
      </c>
      <c r="AQ106" s="385">
        <v>1</v>
      </c>
      <c r="AR106" s="383" t="s">
        <v>183</v>
      </c>
      <c r="AS106" s="387">
        <f t="shared" si="71"/>
        <v>1</v>
      </c>
      <c r="AT106">
        <f t="shared" si="72"/>
        <v>1</v>
      </c>
      <c r="AU106" s="387">
        <f>IF(AT106=0,"",IF(AND(AT106=1,M106="F",SUMIF(C2:C206,C106,AS2:AS206)&lt;=1),SUMIF(C2:C206,C106,AS2:AS206),IF(AND(AT106=1,M106="F",SUMIF(C2:C206,C106,AS2:AS206)&gt;1),1,"")))</f>
        <v>1</v>
      </c>
      <c r="AV106" s="387" t="str">
        <f>IF(AT106=0,"",IF(AND(AT106=3,M106="F",SUMIF(C2:C206,C106,AS2:AS206)&lt;=1),SUMIF(C2:C206,C106,AS2:AS206),IF(AND(AT106=3,M106="F",SUMIF(C2:C206,C106,AS2:AS206)&gt;1),1,"")))</f>
        <v/>
      </c>
      <c r="AW106" s="387">
        <f>SUMIF(C2:C206,C106,O2:O206)</f>
        <v>1</v>
      </c>
      <c r="AX106" s="387">
        <f>IF(AND(M106="F",AS106&lt;&gt;0),SUMIF(C2:C206,C106,W2:W206),0)</f>
        <v>33280</v>
      </c>
      <c r="AY106" s="387">
        <f t="shared" si="73"/>
        <v>33280</v>
      </c>
      <c r="AZ106" s="387" t="str">
        <f t="shared" si="74"/>
        <v/>
      </c>
      <c r="BA106" s="387">
        <f t="shared" si="75"/>
        <v>0</v>
      </c>
      <c r="BB106" s="387">
        <f t="shared" si="44"/>
        <v>11650</v>
      </c>
      <c r="BC106" s="387">
        <f t="shared" si="45"/>
        <v>0</v>
      </c>
      <c r="BD106" s="387">
        <f t="shared" si="46"/>
        <v>2063.36</v>
      </c>
      <c r="BE106" s="387">
        <f t="shared" si="47"/>
        <v>482.56</v>
      </c>
      <c r="BF106" s="387">
        <f t="shared" si="48"/>
        <v>3973.6320000000001</v>
      </c>
      <c r="BG106" s="387">
        <f t="shared" si="49"/>
        <v>239.94880000000001</v>
      </c>
      <c r="BH106" s="387">
        <f t="shared" si="50"/>
        <v>163.072</v>
      </c>
      <c r="BI106" s="387">
        <f t="shared" si="51"/>
        <v>101.8368</v>
      </c>
      <c r="BJ106" s="387">
        <f t="shared" si="52"/>
        <v>462.59199999999998</v>
      </c>
      <c r="BK106" s="387">
        <f t="shared" si="53"/>
        <v>0</v>
      </c>
      <c r="BL106" s="387">
        <f t="shared" si="76"/>
        <v>7487.0015999999996</v>
      </c>
      <c r="BM106" s="387">
        <f t="shared" si="77"/>
        <v>0</v>
      </c>
      <c r="BN106" s="387">
        <f t="shared" si="54"/>
        <v>11650</v>
      </c>
      <c r="BO106" s="387">
        <f t="shared" si="55"/>
        <v>0</v>
      </c>
      <c r="BP106" s="387">
        <f t="shared" si="56"/>
        <v>2063.36</v>
      </c>
      <c r="BQ106" s="387">
        <f t="shared" si="57"/>
        <v>482.56</v>
      </c>
      <c r="BR106" s="387">
        <f t="shared" si="58"/>
        <v>3973.6320000000001</v>
      </c>
      <c r="BS106" s="387">
        <f t="shared" si="59"/>
        <v>239.94880000000001</v>
      </c>
      <c r="BT106" s="387">
        <f t="shared" si="60"/>
        <v>0</v>
      </c>
      <c r="BU106" s="387">
        <f t="shared" si="61"/>
        <v>101.8368</v>
      </c>
      <c r="BV106" s="387">
        <f t="shared" si="62"/>
        <v>462.59199999999998</v>
      </c>
      <c r="BW106" s="387">
        <f t="shared" si="63"/>
        <v>0</v>
      </c>
      <c r="BX106" s="387">
        <f t="shared" si="78"/>
        <v>7323.9295999999995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-163.072</v>
      </c>
      <c r="CG106" s="387">
        <f t="shared" si="68"/>
        <v>0</v>
      </c>
      <c r="CH106" s="387">
        <f t="shared" si="69"/>
        <v>0</v>
      </c>
      <c r="CI106" s="387">
        <f t="shared" si="70"/>
        <v>0</v>
      </c>
      <c r="CJ106" s="387">
        <f t="shared" si="83"/>
        <v>-163.072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0450-26</v>
      </c>
    </row>
    <row r="107" spans="1:92" ht="15.75" thickBot="1" x14ac:dyDescent="0.3">
      <c r="A107" s="376" t="s">
        <v>161</v>
      </c>
      <c r="B107" s="376" t="s">
        <v>162</v>
      </c>
      <c r="C107" s="376" t="s">
        <v>574</v>
      </c>
      <c r="D107" s="376" t="s">
        <v>508</v>
      </c>
      <c r="E107" s="376" t="s">
        <v>251</v>
      </c>
      <c r="F107" s="382" t="s">
        <v>407</v>
      </c>
      <c r="G107" s="376" t="s">
        <v>267</v>
      </c>
      <c r="H107" s="378"/>
      <c r="I107" s="378"/>
      <c r="J107" s="376" t="s">
        <v>186</v>
      </c>
      <c r="K107" s="376" t="s">
        <v>509</v>
      </c>
      <c r="L107" s="376" t="s">
        <v>269</v>
      </c>
      <c r="M107" s="376" t="s">
        <v>171</v>
      </c>
      <c r="N107" s="376" t="s">
        <v>172</v>
      </c>
      <c r="O107" s="379">
        <v>1</v>
      </c>
      <c r="P107" s="385">
        <v>1</v>
      </c>
      <c r="Q107" s="385">
        <v>1</v>
      </c>
      <c r="R107" s="380">
        <v>80</v>
      </c>
      <c r="S107" s="385">
        <v>1</v>
      </c>
      <c r="T107" s="380">
        <v>53319.46</v>
      </c>
      <c r="U107" s="380">
        <v>0</v>
      </c>
      <c r="V107" s="380">
        <v>23755.79</v>
      </c>
      <c r="W107" s="380">
        <v>55723.199999999997</v>
      </c>
      <c r="X107" s="380">
        <v>24186.02</v>
      </c>
      <c r="Y107" s="380">
        <v>55723.199999999997</v>
      </c>
      <c r="Z107" s="380">
        <v>23912.98</v>
      </c>
      <c r="AA107" s="376" t="s">
        <v>575</v>
      </c>
      <c r="AB107" s="376" t="s">
        <v>576</v>
      </c>
      <c r="AC107" s="376" t="s">
        <v>577</v>
      </c>
      <c r="AD107" s="376" t="s">
        <v>578</v>
      </c>
      <c r="AE107" s="376" t="s">
        <v>509</v>
      </c>
      <c r="AF107" s="376" t="s">
        <v>274</v>
      </c>
      <c r="AG107" s="376" t="s">
        <v>178</v>
      </c>
      <c r="AH107" s="381">
        <v>26.79</v>
      </c>
      <c r="AI107" s="381">
        <v>3605.6</v>
      </c>
      <c r="AJ107" s="376" t="s">
        <v>179</v>
      </c>
      <c r="AK107" s="376" t="s">
        <v>180</v>
      </c>
      <c r="AL107" s="376" t="s">
        <v>181</v>
      </c>
      <c r="AM107" s="376" t="s">
        <v>182</v>
      </c>
      <c r="AN107" s="376" t="s">
        <v>68</v>
      </c>
      <c r="AO107" s="379">
        <v>80</v>
      </c>
      <c r="AP107" s="385">
        <v>1</v>
      </c>
      <c r="AQ107" s="385">
        <v>1</v>
      </c>
      <c r="AR107" s="383" t="s">
        <v>183</v>
      </c>
      <c r="AS107" s="387">
        <f t="shared" si="71"/>
        <v>1</v>
      </c>
      <c r="AT107">
        <f t="shared" si="72"/>
        <v>1</v>
      </c>
      <c r="AU107" s="387">
        <f>IF(AT107=0,"",IF(AND(AT107=1,M107="F",SUMIF(C2:C206,C107,AS2:AS206)&lt;=1),SUMIF(C2:C206,C107,AS2:AS206),IF(AND(AT107=1,M107="F",SUMIF(C2:C206,C107,AS2:AS206)&gt;1),1,"")))</f>
        <v>1</v>
      </c>
      <c r="AV107" s="387" t="str">
        <f>IF(AT107=0,"",IF(AND(AT107=3,M107="F",SUMIF(C2:C206,C107,AS2:AS206)&lt;=1),SUMIF(C2:C206,C107,AS2:AS206),IF(AND(AT107=3,M107="F",SUMIF(C2:C206,C107,AS2:AS206)&gt;1),1,"")))</f>
        <v/>
      </c>
      <c r="AW107" s="387">
        <f>SUMIF(C2:C206,C107,O2:O206)</f>
        <v>1</v>
      </c>
      <c r="AX107" s="387">
        <f>IF(AND(M107="F",AS107&lt;&gt;0),SUMIF(C2:C206,C107,W2:W206),0)</f>
        <v>55723.199999999997</v>
      </c>
      <c r="AY107" s="387">
        <f t="shared" si="73"/>
        <v>55723.199999999997</v>
      </c>
      <c r="AZ107" s="387" t="str">
        <f t="shared" si="74"/>
        <v/>
      </c>
      <c r="BA107" s="387">
        <f t="shared" si="75"/>
        <v>0</v>
      </c>
      <c r="BB107" s="387">
        <f t="shared" si="44"/>
        <v>11650</v>
      </c>
      <c r="BC107" s="387">
        <f t="shared" si="45"/>
        <v>0</v>
      </c>
      <c r="BD107" s="387">
        <f t="shared" si="46"/>
        <v>3454.8383999999996</v>
      </c>
      <c r="BE107" s="387">
        <f t="shared" si="47"/>
        <v>807.9864</v>
      </c>
      <c r="BF107" s="387">
        <f t="shared" si="48"/>
        <v>6653.3500800000002</v>
      </c>
      <c r="BG107" s="387">
        <f t="shared" si="49"/>
        <v>401.76427200000001</v>
      </c>
      <c r="BH107" s="387">
        <f t="shared" si="50"/>
        <v>273.04367999999999</v>
      </c>
      <c r="BI107" s="387">
        <f t="shared" si="51"/>
        <v>170.51299199999997</v>
      </c>
      <c r="BJ107" s="387">
        <f t="shared" si="52"/>
        <v>774.55247999999995</v>
      </c>
      <c r="BK107" s="387">
        <f t="shared" si="53"/>
        <v>0</v>
      </c>
      <c r="BL107" s="387">
        <f t="shared" si="76"/>
        <v>12536.048304</v>
      </c>
      <c r="BM107" s="387">
        <f t="shared" si="77"/>
        <v>0</v>
      </c>
      <c r="BN107" s="387">
        <f t="shared" si="54"/>
        <v>11650</v>
      </c>
      <c r="BO107" s="387">
        <f t="shared" si="55"/>
        <v>0</v>
      </c>
      <c r="BP107" s="387">
        <f t="shared" si="56"/>
        <v>3454.8383999999996</v>
      </c>
      <c r="BQ107" s="387">
        <f t="shared" si="57"/>
        <v>807.9864</v>
      </c>
      <c r="BR107" s="387">
        <f t="shared" si="58"/>
        <v>6653.3500800000002</v>
      </c>
      <c r="BS107" s="387">
        <f t="shared" si="59"/>
        <v>401.76427200000001</v>
      </c>
      <c r="BT107" s="387">
        <f t="shared" si="60"/>
        <v>0</v>
      </c>
      <c r="BU107" s="387">
        <f t="shared" si="61"/>
        <v>170.51299199999997</v>
      </c>
      <c r="BV107" s="387">
        <f t="shared" si="62"/>
        <v>774.55247999999995</v>
      </c>
      <c r="BW107" s="387">
        <f t="shared" si="63"/>
        <v>0</v>
      </c>
      <c r="BX107" s="387">
        <f t="shared" si="78"/>
        <v>12263.004623999999</v>
      </c>
      <c r="BY107" s="387">
        <f t="shared" si="79"/>
        <v>0</v>
      </c>
      <c r="BZ107" s="387">
        <f t="shared" si="80"/>
        <v>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0</v>
      </c>
      <c r="CE107" s="387">
        <f t="shared" si="66"/>
        <v>0</v>
      </c>
      <c r="CF107" s="387">
        <f t="shared" si="67"/>
        <v>-273.04367999999999</v>
      </c>
      <c r="CG107" s="387">
        <f t="shared" si="68"/>
        <v>0</v>
      </c>
      <c r="CH107" s="387">
        <f t="shared" si="69"/>
        <v>0</v>
      </c>
      <c r="CI107" s="387">
        <f t="shared" si="70"/>
        <v>0</v>
      </c>
      <c r="CJ107" s="387">
        <f t="shared" si="83"/>
        <v>-273.04367999999999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0450-26</v>
      </c>
    </row>
    <row r="108" spans="1:92" ht="15.75" thickBot="1" x14ac:dyDescent="0.3">
      <c r="A108" s="376" t="s">
        <v>161</v>
      </c>
      <c r="B108" s="376" t="s">
        <v>162</v>
      </c>
      <c r="C108" s="376" t="s">
        <v>579</v>
      </c>
      <c r="D108" s="376" t="s">
        <v>412</v>
      </c>
      <c r="E108" s="376" t="s">
        <v>251</v>
      </c>
      <c r="F108" s="382" t="s">
        <v>407</v>
      </c>
      <c r="G108" s="376" t="s">
        <v>267</v>
      </c>
      <c r="H108" s="378"/>
      <c r="I108" s="378"/>
      <c r="J108" s="376" t="s">
        <v>186</v>
      </c>
      <c r="K108" s="376" t="s">
        <v>413</v>
      </c>
      <c r="L108" s="376" t="s">
        <v>178</v>
      </c>
      <c r="M108" s="376" t="s">
        <v>171</v>
      </c>
      <c r="N108" s="376" t="s">
        <v>172</v>
      </c>
      <c r="O108" s="379">
        <v>1</v>
      </c>
      <c r="P108" s="385">
        <v>1</v>
      </c>
      <c r="Q108" s="385">
        <v>1</v>
      </c>
      <c r="R108" s="380">
        <v>80</v>
      </c>
      <c r="S108" s="385">
        <v>1</v>
      </c>
      <c r="T108" s="380">
        <v>37003.89</v>
      </c>
      <c r="U108" s="380">
        <v>0</v>
      </c>
      <c r="V108" s="380">
        <v>20544.25</v>
      </c>
      <c r="W108" s="380">
        <v>40372.800000000003</v>
      </c>
      <c r="X108" s="380">
        <v>20732.64</v>
      </c>
      <c r="Y108" s="380">
        <v>40372.800000000003</v>
      </c>
      <c r="Z108" s="380">
        <v>20534.82</v>
      </c>
      <c r="AA108" s="376" t="s">
        <v>580</v>
      </c>
      <c r="AB108" s="376" t="s">
        <v>581</v>
      </c>
      <c r="AC108" s="376" t="s">
        <v>515</v>
      </c>
      <c r="AD108" s="376" t="s">
        <v>425</v>
      </c>
      <c r="AE108" s="376" t="s">
        <v>413</v>
      </c>
      <c r="AF108" s="376" t="s">
        <v>250</v>
      </c>
      <c r="AG108" s="376" t="s">
        <v>178</v>
      </c>
      <c r="AH108" s="381">
        <v>19.41</v>
      </c>
      <c r="AI108" s="381">
        <v>12638.9</v>
      </c>
      <c r="AJ108" s="376" t="s">
        <v>179</v>
      </c>
      <c r="AK108" s="376" t="s">
        <v>180</v>
      </c>
      <c r="AL108" s="376" t="s">
        <v>181</v>
      </c>
      <c r="AM108" s="376" t="s">
        <v>182</v>
      </c>
      <c r="AN108" s="376" t="s">
        <v>68</v>
      </c>
      <c r="AO108" s="379">
        <v>80</v>
      </c>
      <c r="AP108" s="385">
        <v>1</v>
      </c>
      <c r="AQ108" s="385">
        <v>1</v>
      </c>
      <c r="AR108" s="383" t="s">
        <v>183</v>
      </c>
      <c r="AS108" s="387">
        <f t="shared" si="71"/>
        <v>1</v>
      </c>
      <c r="AT108">
        <f t="shared" si="72"/>
        <v>1</v>
      </c>
      <c r="AU108" s="387">
        <f>IF(AT108=0,"",IF(AND(AT108=1,M108="F",SUMIF(C2:C206,C108,AS2:AS206)&lt;=1),SUMIF(C2:C206,C108,AS2:AS206),IF(AND(AT108=1,M108="F",SUMIF(C2:C206,C108,AS2:AS206)&gt;1),1,"")))</f>
        <v>1</v>
      </c>
      <c r="AV108" s="387" t="str">
        <f>IF(AT108=0,"",IF(AND(AT108=3,M108="F",SUMIF(C2:C206,C108,AS2:AS206)&lt;=1),SUMIF(C2:C206,C108,AS2:AS206),IF(AND(AT108=3,M108="F",SUMIF(C2:C206,C108,AS2:AS206)&gt;1),1,"")))</f>
        <v/>
      </c>
      <c r="AW108" s="387">
        <f>SUMIF(C2:C206,C108,O2:O206)</f>
        <v>1</v>
      </c>
      <c r="AX108" s="387">
        <f>IF(AND(M108="F",AS108&lt;&gt;0),SUMIF(C2:C206,C108,W2:W206),0)</f>
        <v>40372.800000000003</v>
      </c>
      <c r="AY108" s="387">
        <f t="shared" si="73"/>
        <v>40372.800000000003</v>
      </c>
      <c r="AZ108" s="387" t="str">
        <f t="shared" si="74"/>
        <v/>
      </c>
      <c r="BA108" s="387">
        <f t="shared" si="75"/>
        <v>0</v>
      </c>
      <c r="BB108" s="387">
        <f t="shared" si="44"/>
        <v>11650</v>
      </c>
      <c r="BC108" s="387">
        <f t="shared" si="45"/>
        <v>0</v>
      </c>
      <c r="BD108" s="387">
        <f t="shared" si="46"/>
        <v>2503.1136000000001</v>
      </c>
      <c r="BE108" s="387">
        <f t="shared" si="47"/>
        <v>585.40560000000005</v>
      </c>
      <c r="BF108" s="387">
        <f t="shared" si="48"/>
        <v>4820.5123200000007</v>
      </c>
      <c r="BG108" s="387">
        <f t="shared" si="49"/>
        <v>291.08788800000002</v>
      </c>
      <c r="BH108" s="387">
        <f t="shared" si="50"/>
        <v>197.82671999999999</v>
      </c>
      <c r="BI108" s="387">
        <f t="shared" si="51"/>
        <v>123.540768</v>
      </c>
      <c r="BJ108" s="387">
        <f t="shared" si="52"/>
        <v>561.18191999999999</v>
      </c>
      <c r="BK108" s="387">
        <f t="shared" si="53"/>
        <v>0</v>
      </c>
      <c r="BL108" s="387">
        <f t="shared" si="76"/>
        <v>9082.6688160000012</v>
      </c>
      <c r="BM108" s="387">
        <f t="shared" si="77"/>
        <v>0</v>
      </c>
      <c r="BN108" s="387">
        <f t="shared" si="54"/>
        <v>11650</v>
      </c>
      <c r="BO108" s="387">
        <f t="shared" si="55"/>
        <v>0</v>
      </c>
      <c r="BP108" s="387">
        <f t="shared" si="56"/>
        <v>2503.1136000000001</v>
      </c>
      <c r="BQ108" s="387">
        <f t="shared" si="57"/>
        <v>585.40560000000005</v>
      </c>
      <c r="BR108" s="387">
        <f t="shared" si="58"/>
        <v>4820.5123200000007</v>
      </c>
      <c r="BS108" s="387">
        <f t="shared" si="59"/>
        <v>291.08788800000002</v>
      </c>
      <c r="BT108" s="387">
        <f t="shared" si="60"/>
        <v>0</v>
      </c>
      <c r="BU108" s="387">
        <f t="shared" si="61"/>
        <v>123.540768</v>
      </c>
      <c r="BV108" s="387">
        <f t="shared" si="62"/>
        <v>561.18191999999999</v>
      </c>
      <c r="BW108" s="387">
        <f t="shared" si="63"/>
        <v>0</v>
      </c>
      <c r="BX108" s="387">
        <f t="shared" si="78"/>
        <v>8884.8420960000003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-197.82671999999999</v>
      </c>
      <c r="CG108" s="387">
        <f t="shared" si="68"/>
        <v>0</v>
      </c>
      <c r="CH108" s="387">
        <f t="shared" si="69"/>
        <v>0</v>
      </c>
      <c r="CI108" s="387">
        <f t="shared" si="70"/>
        <v>0</v>
      </c>
      <c r="CJ108" s="387">
        <f t="shared" si="83"/>
        <v>-197.82671999999999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0450-26</v>
      </c>
    </row>
    <row r="109" spans="1:92" ht="15.75" thickBot="1" x14ac:dyDescent="0.3">
      <c r="A109" s="376" t="s">
        <v>161</v>
      </c>
      <c r="B109" s="376" t="s">
        <v>162</v>
      </c>
      <c r="C109" s="376" t="s">
        <v>582</v>
      </c>
      <c r="D109" s="376" t="s">
        <v>205</v>
      </c>
      <c r="E109" s="376" t="s">
        <v>165</v>
      </c>
      <c r="F109" s="377" t="s">
        <v>166</v>
      </c>
      <c r="G109" s="376" t="s">
        <v>583</v>
      </c>
      <c r="H109" s="378"/>
      <c r="I109" s="378"/>
      <c r="J109" s="376" t="s">
        <v>186</v>
      </c>
      <c r="K109" s="376" t="s">
        <v>206</v>
      </c>
      <c r="L109" s="376" t="s">
        <v>166</v>
      </c>
      <c r="M109" s="376" t="s">
        <v>171</v>
      </c>
      <c r="N109" s="376" t="s">
        <v>208</v>
      </c>
      <c r="O109" s="379">
        <v>0</v>
      </c>
      <c r="P109" s="385">
        <v>1</v>
      </c>
      <c r="Q109" s="385">
        <v>0</v>
      </c>
      <c r="R109" s="380">
        <v>0</v>
      </c>
      <c r="S109" s="385">
        <v>0</v>
      </c>
      <c r="T109" s="380">
        <v>1925</v>
      </c>
      <c r="U109" s="380">
        <v>0</v>
      </c>
      <c r="V109" s="380">
        <v>399.55</v>
      </c>
      <c r="W109" s="380">
        <v>1925</v>
      </c>
      <c r="X109" s="380">
        <v>399.55</v>
      </c>
      <c r="Y109" s="380">
        <v>1925</v>
      </c>
      <c r="Z109" s="380">
        <v>399.55</v>
      </c>
      <c r="AA109" s="378"/>
      <c r="AB109" s="376" t="s">
        <v>45</v>
      </c>
      <c r="AC109" s="376" t="s">
        <v>45</v>
      </c>
      <c r="AD109" s="378"/>
      <c r="AE109" s="378"/>
      <c r="AF109" s="378"/>
      <c r="AG109" s="378"/>
      <c r="AH109" s="379">
        <v>0</v>
      </c>
      <c r="AI109" s="379">
        <v>0</v>
      </c>
      <c r="AJ109" s="378"/>
      <c r="AK109" s="378"/>
      <c r="AL109" s="376" t="s">
        <v>181</v>
      </c>
      <c r="AM109" s="378"/>
      <c r="AN109" s="378"/>
      <c r="AO109" s="379">
        <v>0</v>
      </c>
      <c r="AP109" s="385">
        <v>0</v>
      </c>
      <c r="AQ109" s="385">
        <v>0</v>
      </c>
      <c r="AR109" s="384"/>
      <c r="AS109" s="387">
        <f t="shared" si="71"/>
        <v>0</v>
      </c>
      <c r="AT109">
        <f t="shared" si="72"/>
        <v>0</v>
      </c>
      <c r="AU109" s="387" t="str">
        <f>IF(AT109=0,"",IF(AND(AT109=1,M109="F",SUMIF(C2:C206,C109,AS2:AS206)&lt;=1),SUMIF(C2:C206,C109,AS2:AS206),IF(AND(AT109=1,M109="F",SUMIF(C2:C206,C109,AS2:AS206)&gt;1),1,"")))</f>
        <v/>
      </c>
      <c r="AV109" s="387" t="str">
        <f>IF(AT109=0,"",IF(AND(AT109=3,M109="F",SUMIF(C2:C206,C109,AS2:AS206)&lt;=1),SUMIF(C2:C206,C109,AS2:AS206),IF(AND(AT109=3,M109="F",SUMIF(C2:C206,C109,AS2:AS206)&gt;1),1,"")))</f>
        <v/>
      </c>
      <c r="AW109" s="387">
        <f>SUMIF(C2:C206,C109,O2:O206)</f>
        <v>0</v>
      </c>
      <c r="AX109" s="387">
        <f>IF(AND(M109="F",AS109&lt;&gt;0),SUMIF(C2:C206,C109,W2:W206),0)</f>
        <v>0</v>
      </c>
      <c r="AY109" s="387" t="str">
        <f t="shared" si="73"/>
        <v/>
      </c>
      <c r="AZ109" s="387" t="str">
        <f t="shared" si="74"/>
        <v/>
      </c>
      <c r="BA109" s="387">
        <f t="shared" si="75"/>
        <v>0</v>
      </c>
      <c r="BB109" s="387">
        <f t="shared" si="44"/>
        <v>0</v>
      </c>
      <c r="BC109" s="387">
        <f t="shared" si="45"/>
        <v>0</v>
      </c>
      <c r="BD109" s="387">
        <f t="shared" si="46"/>
        <v>0</v>
      </c>
      <c r="BE109" s="387">
        <f t="shared" si="47"/>
        <v>0</v>
      </c>
      <c r="BF109" s="387">
        <f t="shared" si="48"/>
        <v>0</v>
      </c>
      <c r="BG109" s="387">
        <f t="shared" si="49"/>
        <v>0</v>
      </c>
      <c r="BH109" s="387">
        <f t="shared" si="50"/>
        <v>0</v>
      </c>
      <c r="BI109" s="387">
        <f t="shared" si="51"/>
        <v>0</v>
      </c>
      <c r="BJ109" s="387">
        <f t="shared" si="52"/>
        <v>0</v>
      </c>
      <c r="BK109" s="387">
        <f t="shared" si="53"/>
        <v>0</v>
      </c>
      <c r="BL109" s="387">
        <f t="shared" si="76"/>
        <v>0</v>
      </c>
      <c r="BM109" s="387">
        <f t="shared" si="77"/>
        <v>0</v>
      </c>
      <c r="BN109" s="387">
        <f t="shared" si="54"/>
        <v>0</v>
      </c>
      <c r="BO109" s="387">
        <f t="shared" si="55"/>
        <v>0</v>
      </c>
      <c r="BP109" s="387">
        <f t="shared" si="56"/>
        <v>0</v>
      </c>
      <c r="BQ109" s="387">
        <f t="shared" si="57"/>
        <v>0</v>
      </c>
      <c r="BR109" s="387">
        <f t="shared" si="58"/>
        <v>0</v>
      </c>
      <c r="BS109" s="387">
        <f t="shared" si="59"/>
        <v>0</v>
      </c>
      <c r="BT109" s="387">
        <f t="shared" si="60"/>
        <v>0</v>
      </c>
      <c r="BU109" s="387">
        <f t="shared" si="61"/>
        <v>0</v>
      </c>
      <c r="BV109" s="387">
        <f t="shared" si="62"/>
        <v>0</v>
      </c>
      <c r="BW109" s="387">
        <f t="shared" si="63"/>
        <v>0</v>
      </c>
      <c r="BX109" s="387">
        <f t="shared" si="78"/>
        <v>0</v>
      </c>
      <c r="BY109" s="387">
        <f t="shared" si="79"/>
        <v>0</v>
      </c>
      <c r="BZ109" s="387">
        <f t="shared" si="80"/>
        <v>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0</v>
      </c>
      <c r="CE109" s="387">
        <f t="shared" si="66"/>
        <v>0</v>
      </c>
      <c r="CF109" s="387">
        <f t="shared" si="67"/>
        <v>0</v>
      </c>
      <c r="CG109" s="387">
        <f t="shared" si="68"/>
        <v>0</v>
      </c>
      <c r="CH109" s="387">
        <f t="shared" si="69"/>
        <v>0</v>
      </c>
      <c r="CI109" s="387">
        <f t="shared" si="70"/>
        <v>0</v>
      </c>
      <c r="CJ109" s="387">
        <f t="shared" si="83"/>
        <v>0</v>
      </c>
      <c r="CK109" s="387" t="str">
        <f t="shared" si="84"/>
        <v/>
      </c>
      <c r="CL109" s="387">
        <f t="shared" si="85"/>
        <v>1925</v>
      </c>
      <c r="CM109" s="387">
        <f t="shared" si="86"/>
        <v>399.55</v>
      </c>
      <c r="CN109" s="387" t="str">
        <f t="shared" si="87"/>
        <v>0001-00</v>
      </c>
    </row>
    <row r="110" spans="1:92" ht="15.75" thickBot="1" x14ac:dyDescent="0.3">
      <c r="A110" s="376" t="s">
        <v>161</v>
      </c>
      <c r="B110" s="376" t="s">
        <v>162</v>
      </c>
      <c r="C110" s="376" t="s">
        <v>584</v>
      </c>
      <c r="D110" s="376" t="s">
        <v>585</v>
      </c>
      <c r="E110" s="376" t="s">
        <v>165</v>
      </c>
      <c r="F110" s="377" t="s">
        <v>166</v>
      </c>
      <c r="G110" s="376" t="s">
        <v>583</v>
      </c>
      <c r="H110" s="378"/>
      <c r="I110" s="378"/>
      <c r="J110" s="376" t="s">
        <v>242</v>
      </c>
      <c r="K110" s="376" t="s">
        <v>586</v>
      </c>
      <c r="L110" s="376" t="s">
        <v>171</v>
      </c>
      <c r="M110" s="376" t="s">
        <v>171</v>
      </c>
      <c r="N110" s="376" t="s">
        <v>172</v>
      </c>
      <c r="O110" s="379">
        <v>1</v>
      </c>
      <c r="P110" s="385">
        <v>0.78</v>
      </c>
      <c r="Q110" s="385">
        <v>0.78</v>
      </c>
      <c r="R110" s="380">
        <v>80</v>
      </c>
      <c r="S110" s="385">
        <v>0.78</v>
      </c>
      <c r="T110" s="380">
        <v>21449.66</v>
      </c>
      <c r="U110" s="380">
        <v>0</v>
      </c>
      <c r="V110" s="380">
        <v>14313.1</v>
      </c>
      <c r="W110" s="380">
        <v>23378.78</v>
      </c>
      <c r="X110" s="380">
        <v>14346.5</v>
      </c>
      <c r="Y110" s="380">
        <v>23378.78</v>
      </c>
      <c r="Z110" s="380">
        <v>14231.95</v>
      </c>
      <c r="AA110" s="376" t="s">
        <v>587</v>
      </c>
      <c r="AB110" s="376" t="s">
        <v>588</v>
      </c>
      <c r="AC110" s="376" t="s">
        <v>357</v>
      </c>
      <c r="AD110" s="376" t="s">
        <v>570</v>
      </c>
      <c r="AE110" s="376" t="s">
        <v>586</v>
      </c>
      <c r="AF110" s="376" t="s">
        <v>589</v>
      </c>
      <c r="AG110" s="376" t="s">
        <v>178</v>
      </c>
      <c r="AH110" s="381">
        <v>14.41</v>
      </c>
      <c r="AI110" s="379">
        <v>10080</v>
      </c>
      <c r="AJ110" s="376" t="s">
        <v>179</v>
      </c>
      <c r="AK110" s="376" t="s">
        <v>180</v>
      </c>
      <c r="AL110" s="376" t="s">
        <v>181</v>
      </c>
      <c r="AM110" s="376" t="s">
        <v>182</v>
      </c>
      <c r="AN110" s="376" t="s">
        <v>68</v>
      </c>
      <c r="AO110" s="379">
        <v>80</v>
      </c>
      <c r="AP110" s="385">
        <v>1</v>
      </c>
      <c r="AQ110" s="385">
        <v>0.78</v>
      </c>
      <c r="AR110" s="383" t="s">
        <v>183</v>
      </c>
      <c r="AS110" s="387">
        <f t="shared" si="71"/>
        <v>0.78</v>
      </c>
      <c r="AT110">
        <f t="shared" si="72"/>
        <v>1</v>
      </c>
      <c r="AU110" s="387">
        <f>IF(AT110=0,"",IF(AND(AT110=1,M110="F",SUMIF(C2:C206,C110,AS2:AS206)&lt;=1),SUMIF(C2:C206,C110,AS2:AS206),IF(AND(AT110=1,M110="F",SUMIF(C2:C206,C110,AS2:AS206)&gt;1),1,"")))</f>
        <v>1</v>
      </c>
      <c r="AV110" s="387" t="str">
        <f>IF(AT110=0,"",IF(AND(AT110=3,M110="F",SUMIF(C2:C206,C110,AS2:AS206)&lt;=1),SUMIF(C2:C206,C110,AS2:AS206),IF(AND(AT110=3,M110="F",SUMIF(C2:C206,C110,AS2:AS206)&gt;1),1,"")))</f>
        <v/>
      </c>
      <c r="AW110" s="387">
        <f>SUMIF(C2:C206,C110,O2:O206)</f>
        <v>2</v>
      </c>
      <c r="AX110" s="387">
        <f>IF(AND(M110="F",AS110&lt;&gt;0),SUMIF(C2:C206,C110,W2:W206),0)</f>
        <v>29972.79</v>
      </c>
      <c r="AY110" s="387">
        <f t="shared" si="73"/>
        <v>23378.78</v>
      </c>
      <c r="AZ110" s="387" t="str">
        <f t="shared" si="74"/>
        <v/>
      </c>
      <c r="BA110" s="387">
        <f t="shared" si="75"/>
        <v>0</v>
      </c>
      <c r="BB110" s="387">
        <f t="shared" si="44"/>
        <v>9087</v>
      </c>
      <c r="BC110" s="387">
        <f t="shared" si="45"/>
        <v>0</v>
      </c>
      <c r="BD110" s="387">
        <f t="shared" si="46"/>
        <v>1449.4843599999999</v>
      </c>
      <c r="BE110" s="387">
        <f t="shared" si="47"/>
        <v>338.99230999999997</v>
      </c>
      <c r="BF110" s="387">
        <f t="shared" si="48"/>
        <v>2791.426332</v>
      </c>
      <c r="BG110" s="387">
        <f t="shared" si="49"/>
        <v>168.56100380000001</v>
      </c>
      <c r="BH110" s="387">
        <f t="shared" si="50"/>
        <v>114.55602199999998</v>
      </c>
      <c r="BI110" s="387">
        <f t="shared" si="51"/>
        <v>71.539066799999986</v>
      </c>
      <c r="BJ110" s="387">
        <f t="shared" si="52"/>
        <v>324.96504199999998</v>
      </c>
      <c r="BK110" s="387">
        <f t="shared" si="53"/>
        <v>0</v>
      </c>
      <c r="BL110" s="387">
        <f t="shared" si="76"/>
        <v>5259.5241366</v>
      </c>
      <c r="BM110" s="387">
        <f t="shared" si="77"/>
        <v>0</v>
      </c>
      <c r="BN110" s="387">
        <f t="shared" si="54"/>
        <v>9087</v>
      </c>
      <c r="BO110" s="387">
        <f t="shared" si="55"/>
        <v>0</v>
      </c>
      <c r="BP110" s="387">
        <f t="shared" si="56"/>
        <v>1449.4843599999999</v>
      </c>
      <c r="BQ110" s="387">
        <f t="shared" si="57"/>
        <v>338.99230999999997</v>
      </c>
      <c r="BR110" s="387">
        <f t="shared" si="58"/>
        <v>2791.426332</v>
      </c>
      <c r="BS110" s="387">
        <f t="shared" si="59"/>
        <v>168.56100380000001</v>
      </c>
      <c r="BT110" s="387">
        <f t="shared" si="60"/>
        <v>0</v>
      </c>
      <c r="BU110" s="387">
        <f t="shared" si="61"/>
        <v>71.539066799999986</v>
      </c>
      <c r="BV110" s="387">
        <f t="shared" si="62"/>
        <v>324.96504199999998</v>
      </c>
      <c r="BW110" s="387">
        <f t="shared" si="63"/>
        <v>0</v>
      </c>
      <c r="BX110" s="387">
        <f t="shared" si="78"/>
        <v>5144.9681146000003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-114.55602199999998</v>
      </c>
      <c r="CG110" s="387">
        <f t="shared" si="68"/>
        <v>0</v>
      </c>
      <c r="CH110" s="387">
        <f t="shared" si="69"/>
        <v>0</v>
      </c>
      <c r="CI110" s="387">
        <f t="shared" si="70"/>
        <v>0</v>
      </c>
      <c r="CJ110" s="387">
        <f t="shared" si="83"/>
        <v>-114.55602199999998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0001-00</v>
      </c>
    </row>
    <row r="111" spans="1:92" ht="15.75" thickBot="1" x14ac:dyDescent="0.3">
      <c r="A111" s="376" t="s">
        <v>161</v>
      </c>
      <c r="B111" s="376" t="s">
        <v>162</v>
      </c>
      <c r="C111" s="376" t="s">
        <v>590</v>
      </c>
      <c r="D111" s="376" t="s">
        <v>585</v>
      </c>
      <c r="E111" s="376" t="s">
        <v>165</v>
      </c>
      <c r="F111" s="377" t="s">
        <v>166</v>
      </c>
      <c r="G111" s="376" t="s">
        <v>583</v>
      </c>
      <c r="H111" s="378"/>
      <c r="I111" s="378"/>
      <c r="J111" s="376" t="s">
        <v>242</v>
      </c>
      <c r="K111" s="376" t="s">
        <v>586</v>
      </c>
      <c r="L111" s="376" t="s">
        <v>171</v>
      </c>
      <c r="M111" s="376" t="s">
        <v>171</v>
      </c>
      <c r="N111" s="376" t="s">
        <v>172</v>
      </c>
      <c r="O111" s="379">
        <v>1</v>
      </c>
      <c r="P111" s="385">
        <v>0.78</v>
      </c>
      <c r="Q111" s="385">
        <v>0.78</v>
      </c>
      <c r="R111" s="380">
        <v>80</v>
      </c>
      <c r="S111" s="385">
        <v>0.78</v>
      </c>
      <c r="T111" s="380">
        <v>18398.46</v>
      </c>
      <c r="U111" s="380">
        <v>0</v>
      </c>
      <c r="V111" s="380">
        <v>13576.07</v>
      </c>
      <c r="W111" s="380">
        <v>20766.72</v>
      </c>
      <c r="X111" s="380">
        <v>13758.84</v>
      </c>
      <c r="Y111" s="380">
        <v>20766.72</v>
      </c>
      <c r="Z111" s="380">
        <v>13657.09</v>
      </c>
      <c r="AA111" s="376" t="s">
        <v>591</v>
      </c>
      <c r="AB111" s="376" t="s">
        <v>592</v>
      </c>
      <c r="AC111" s="376" t="s">
        <v>593</v>
      </c>
      <c r="AD111" s="376" t="s">
        <v>279</v>
      </c>
      <c r="AE111" s="376" t="s">
        <v>586</v>
      </c>
      <c r="AF111" s="376" t="s">
        <v>589</v>
      </c>
      <c r="AG111" s="376" t="s">
        <v>178</v>
      </c>
      <c r="AH111" s="381">
        <v>12.8</v>
      </c>
      <c r="AI111" s="379">
        <v>880</v>
      </c>
      <c r="AJ111" s="376" t="s">
        <v>179</v>
      </c>
      <c r="AK111" s="376" t="s">
        <v>180</v>
      </c>
      <c r="AL111" s="376" t="s">
        <v>181</v>
      </c>
      <c r="AM111" s="376" t="s">
        <v>182</v>
      </c>
      <c r="AN111" s="376" t="s">
        <v>68</v>
      </c>
      <c r="AO111" s="379">
        <v>80</v>
      </c>
      <c r="AP111" s="385">
        <v>1</v>
      </c>
      <c r="AQ111" s="385">
        <v>0.78</v>
      </c>
      <c r="AR111" s="383" t="s">
        <v>183</v>
      </c>
      <c r="AS111" s="387">
        <f t="shared" si="71"/>
        <v>0.78</v>
      </c>
      <c r="AT111">
        <f t="shared" si="72"/>
        <v>1</v>
      </c>
      <c r="AU111" s="387">
        <f>IF(AT111=0,"",IF(AND(AT111=1,M111="F",SUMIF(C2:C206,C111,AS2:AS206)&lt;=1),SUMIF(C2:C206,C111,AS2:AS206),IF(AND(AT111=1,M111="F",SUMIF(C2:C206,C111,AS2:AS206)&gt;1),1,"")))</f>
        <v>1</v>
      </c>
      <c r="AV111" s="387" t="str">
        <f>IF(AT111=0,"",IF(AND(AT111=3,M111="F",SUMIF(C2:C206,C111,AS2:AS206)&lt;=1),SUMIF(C2:C206,C111,AS2:AS206),IF(AND(AT111=3,M111="F",SUMIF(C2:C206,C111,AS2:AS206)&gt;1),1,"")))</f>
        <v/>
      </c>
      <c r="AW111" s="387">
        <f>SUMIF(C2:C206,C111,O2:O206)</f>
        <v>2</v>
      </c>
      <c r="AX111" s="387">
        <f>IF(AND(M111="F",AS111&lt;&gt;0),SUMIF(C2:C206,C111,W2:W206),0)</f>
        <v>26624</v>
      </c>
      <c r="AY111" s="387">
        <f t="shared" si="73"/>
        <v>20766.72</v>
      </c>
      <c r="AZ111" s="387" t="str">
        <f t="shared" si="74"/>
        <v/>
      </c>
      <c r="BA111" s="387">
        <f t="shared" si="75"/>
        <v>0</v>
      </c>
      <c r="BB111" s="387">
        <f t="shared" si="44"/>
        <v>9087</v>
      </c>
      <c r="BC111" s="387">
        <f t="shared" si="45"/>
        <v>0</v>
      </c>
      <c r="BD111" s="387">
        <f t="shared" si="46"/>
        <v>1287.53664</v>
      </c>
      <c r="BE111" s="387">
        <f t="shared" si="47"/>
        <v>301.11744000000004</v>
      </c>
      <c r="BF111" s="387">
        <f t="shared" si="48"/>
        <v>2479.5463680000003</v>
      </c>
      <c r="BG111" s="387">
        <f t="shared" si="49"/>
        <v>149.72805120000001</v>
      </c>
      <c r="BH111" s="387">
        <f t="shared" si="50"/>
        <v>101.756928</v>
      </c>
      <c r="BI111" s="387">
        <f t="shared" si="51"/>
        <v>63.546163200000002</v>
      </c>
      <c r="BJ111" s="387">
        <f t="shared" si="52"/>
        <v>288.65740799999998</v>
      </c>
      <c r="BK111" s="387">
        <f t="shared" si="53"/>
        <v>0</v>
      </c>
      <c r="BL111" s="387">
        <f t="shared" si="76"/>
        <v>4671.8889983999998</v>
      </c>
      <c r="BM111" s="387">
        <f t="shared" si="77"/>
        <v>0</v>
      </c>
      <c r="BN111" s="387">
        <f t="shared" si="54"/>
        <v>9087</v>
      </c>
      <c r="BO111" s="387">
        <f t="shared" si="55"/>
        <v>0</v>
      </c>
      <c r="BP111" s="387">
        <f t="shared" si="56"/>
        <v>1287.53664</v>
      </c>
      <c r="BQ111" s="387">
        <f t="shared" si="57"/>
        <v>301.11744000000004</v>
      </c>
      <c r="BR111" s="387">
        <f t="shared" si="58"/>
        <v>2479.5463680000003</v>
      </c>
      <c r="BS111" s="387">
        <f t="shared" si="59"/>
        <v>149.72805120000001</v>
      </c>
      <c r="BT111" s="387">
        <f t="shared" si="60"/>
        <v>0</v>
      </c>
      <c r="BU111" s="387">
        <f t="shared" si="61"/>
        <v>63.546163200000002</v>
      </c>
      <c r="BV111" s="387">
        <f t="shared" si="62"/>
        <v>288.65740799999998</v>
      </c>
      <c r="BW111" s="387">
        <f t="shared" si="63"/>
        <v>0</v>
      </c>
      <c r="BX111" s="387">
        <f t="shared" si="78"/>
        <v>4570.1320704</v>
      </c>
      <c r="BY111" s="387">
        <f t="shared" si="79"/>
        <v>0</v>
      </c>
      <c r="BZ111" s="387">
        <f t="shared" si="80"/>
        <v>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0</v>
      </c>
      <c r="CE111" s="387">
        <f t="shared" si="66"/>
        <v>0</v>
      </c>
      <c r="CF111" s="387">
        <f t="shared" si="67"/>
        <v>-101.756928</v>
      </c>
      <c r="CG111" s="387">
        <f t="shared" si="68"/>
        <v>0</v>
      </c>
      <c r="CH111" s="387">
        <f t="shared" si="69"/>
        <v>0</v>
      </c>
      <c r="CI111" s="387">
        <f t="shared" si="70"/>
        <v>0</v>
      </c>
      <c r="CJ111" s="387">
        <f t="shared" si="83"/>
        <v>-101.756928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0001-00</v>
      </c>
    </row>
    <row r="112" spans="1:92" ht="15.75" thickBot="1" x14ac:dyDescent="0.3">
      <c r="A112" s="376" t="s">
        <v>161</v>
      </c>
      <c r="B112" s="376" t="s">
        <v>162</v>
      </c>
      <c r="C112" s="376" t="s">
        <v>594</v>
      </c>
      <c r="D112" s="376" t="s">
        <v>585</v>
      </c>
      <c r="E112" s="376" t="s">
        <v>165</v>
      </c>
      <c r="F112" s="377" t="s">
        <v>166</v>
      </c>
      <c r="G112" s="376" t="s">
        <v>583</v>
      </c>
      <c r="H112" s="378"/>
      <c r="I112" s="378"/>
      <c r="J112" s="376" t="s">
        <v>242</v>
      </c>
      <c r="K112" s="376" t="s">
        <v>586</v>
      </c>
      <c r="L112" s="376" t="s">
        <v>171</v>
      </c>
      <c r="M112" s="376" t="s">
        <v>171</v>
      </c>
      <c r="N112" s="376" t="s">
        <v>172</v>
      </c>
      <c r="O112" s="379">
        <v>1</v>
      </c>
      <c r="P112" s="385">
        <v>0.78</v>
      </c>
      <c r="Q112" s="385">
        <v>0.78</v>
      </c>
      <c r="R112" s="380">
        <v>80</v>
      </c>
      <c r="S112" s="385">
        <v>0.78</v>
      </c>
      <c r="T112" s="380">
        <v>21981</v>
      </c>
      <c r="U112" s="380">
        <v>0</v>
      </c>
      <c r="V112" s="380">
        <v>14531.56</v>
      </c>
      <c r="W112" s="380">
        <v>25812.38</v>
      </c>
      <c r="X112" s="380">
        <v>14893.98</v>
      </c>
      <c r="Y112" s="380">
        <v>25812.38</v>
      </c>
      <c r="Z112" s="380">
        <v>14767.5</v>
      </c>
      <c r="AA112" s="376" t="s">
        <v>595</v>
      </c>
      <c r="AB112" s="376" t="s">
        <v>398</v>
      </c>
      <c r="AC112" s="376" t="s">
        <v>596</v>
      </c>
      <c r="AD112" s="376" t="s">
        <v>283</v>
      </c>
      <c r="AE112" s="376" t="s">
        <v>586</v>
      </c>
      <c r="AF112" s="376" t="s">
        <v>589</v>
      </c>
      <c r="AG112" s="376" t="s">
        <v>178</v>
      </c>
      <c r="AH112" s="381">
        <v>15.91</v>
      </c>
      <c r="AI112" s="381">
        <v>25065.9</v>
      </c>
      <c r="AJ112" s="376" t="s">
        <v>179</v>
      </c>
      <c r="AK112" s="376" t="s">
        <v>180</v>
      </c>
      <c r="AL112" s="376" t="s">
        <v>181</v>
      </c>
      <c r="AM112" s="376" t="s">
        <v>182</v>
      </c>
      <c r="AN112" s="376" t="s">
        <v>68</v>
      </c>
      <c r="AO112" s="379">
        <v>80</v>
      </c>
      <c r="AP112" s="385">
        <v>1</v>
      </c>
      <c r="AQ112" s="385">
        <v>0.78</v>
      </c>
      <c r="AR112" s="383" t="s">
        <v>183</v>
      </c>
      <c r="AS112" s="387">
        <f t="shared" si="71"/>
        <v>0.78</v>
      </c>
      <c r="AT112">
        <f t="shared" si="72"/>
        <v>1</v>
      </c>
      <c r="AU112" s="387">
        <f>IF(AT112=0,"",IF(AND(AT112=1,M112="F",SUMIF(C2:C206,C112,AS2:AS206)&lt;=1),SUMIF(C2:C206,C112,AS2:AS206),IF(AND(AT112=1,M112="F",SUMIF(C2:C206,C112,AS2:AS206)&gt;1),1,"")))</f>
        <v>1</v>
      </c>
      <c r="AV112" s="387" t="str">
        <f>IF(AT112=0,"",IF(AND(AT112=3,M112="F",SUMIF(C2:C206,C112,AS2:AS206)&lt;=1),SUMIF(C2:C206,C112,AS2:AS206),IF(AND(AT112=3,M112="F",SUMIF(C2:C206,C112,AS2:AS206)&gt;1),1,"")))</f>
        <v/>
      </c>
      <c r="AW112" s="387">
        <f>SUMIF(C2:C206,C112,O2:O206)</f>
        <v>2</v>
      </c>
      <c r="AX112" s="387">
        <f>IF(AND(M112="F",AS112&lt;&gt;0),SUMIF(C2:C206,C112,W2:W206),0)</f>
        <v>33092.79</v>
      </c>
      <c r="AY112" s="387">
        <f t="shared" si="73"/>
        <v>25812.38</v>
      </c>
      <c r="AZ112" s="387" t="str">
        <f t="shared" si="74"/>
        <v/>
      </c>
      <c r="BA112" s="387">
        <f t="shared" si="75"/>
        <v>0</v>
      </c>
      <c r="BB112" s="387">
        <f t="shared" si="44"/>
        <v>9087</v>
      </c>
      <c r="BC112" s="387">
        <f t="shared" si="45"/>
        <v>0</v>
      </c>
      <c r="BD112" s="387">
        <f t="shared" si="46"/>
        <v>1600.3675600000001</v>
      </c>
      <c r="BE112" s="387">
        <f t="shared" si="47"/>
        <v>374.27951000000002</v>
      </c>
      <c r="BF112" s="387">
        <f t="shared" si="48"/>
        <v>3081.9981720000001</v>
      </c>
      <c r="BG112" s="387">
        <f t="shared" si="49"/>
        <v>186.10725980000001</v>
      </c>
      <c r="BH112" s="387">
        <f t="shared" si="50"/>
        <v>126.480662</v>
      </c>
      <c r="BI112" s="387">
        <f t="shared" si="51"/>
        <v>78.985882799999999</v>
      </c>
      <c r="BJ112" s="387">
        <f t="shared" si="52"/>
        <v>358.79208199999999</v>
      </c>
      <c r="BK112" s="387">
        <f t="shared" si="53"/>
        <v>0</v>
      </c>
      <c r="BL112" s="387">
        <f t="shared" si="76"/>
        <v>5807.0111286000001</v>
      </c>
      <c r="BM112" s="387">
        <f t="shared" si="77"/>
        <v>0</v>
      </c>
      <c r="BN112" s="387">
        <f t="shared" si="54"/>
        <v>9087</v>
      </c>
      <c r="BO112" s="387">
        <f t="shared" si="55"/>
        <v>0</v>
      </c>
      <c r="BP112" s="387">
        <f t="shared" si="56"/>
        <v>1600.3675600000001</v>
      </c>
      <c r="BQ112" s="387">
        <f t="shared" si="57"/>
        <v>374.27951000000002</v>
      </c>
      <c r="BR112" s="387">
        <f t="shared" si="58"/>
        <v>3081.9981720000001</v>
      </c>
      <c r="BS112" s="387">
        <f t="shared" si="59"/>
        <v>186.10725980000001</v>
      </c>
      <c r="BT112" s="387">
        <f t="shared" si="60"/>
        <v>0</v>
      </c>
      <c r="BU112" s="387">
        <f t="shared" si="61"/>
        <v>78.985882799999999</v>
      </c>
      <c r="BV112" s="387">
        <f t="shared" si="62"/>
        <v>358.79208199999999</v>
      </c>
      <c r="BW112" s="387">
        <f t="shared" si="63"/>
        <v>0</v>
      </c>
      <c r="BX112" s="387">
        <f t="shared" si="78"/>
        <v>5680.5304666000002</v>
      </c>
      <c r="BY112" s="387">
        <f t="shared" si="79"/>
        <v>0</v>
      </c>
      <c r="BZ112" s="387">
        <f t="shared" si="80"/>
        <v>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0</v>
      </c>
      <c r="CE112" s="387">
        <f t="shared" si="66"/>
        <v>0</v>
      </c>
      <c r="CF112" s="387">
        <f t="shared" si="67"/>
        <v>-126.480662</v>
      </c>
      <c r="CG112" s="387">
        <f t="shared" si="68"/>
        <v>0</v>
      </c>
      <c r="CH112" s="387">
        <f t="shared" si="69"/>
        <v>0</v>
      </c>
      <c r="CI112" s="387">
        <f t="shared" si="70"/>
        <v>0</v>
      </c>
      <c r="CJ112" s="387">
        <f t="shared" si="83"/>
        <v>-126.480662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0001-00</v>
      </c>
    </row>
    <row r="113" spans="1:92" ht="15.75" thickBot="1" x14ac:dyDescent="0.3">
      <c r="A113" s="376" t="s">
        <v>161</v>
      </c>
      <c r="B113" s="376" t="s">
        <v>162</v>
      </c>
      <c r="C113" s="376" t="s">
        <v>597</v>
      </c>
      <c r="D113" s="376" t="s">
        <v>585</v>
      </c>
      <c r="E113" s="376" t="s">
        <v>165</v>
      </c>
      <c r="F113" s="377" t="s">
        <v>166</v>
      </c>
      <c r="G113" s="376" t="s">
        <v>583</v>
      </c>
      <c r="H113" s="378"/>
      <c r="I113" s="378"/>
      <c r="J113" s="376" t="s">
        <v>242</v>
      </c>
      <c r="K113" s="376" t="s">
        <v>586</v>
      </c>
      <c r="L113" s="376" t="s">
        <v>171</v>
      </c>
      <c r="M113" s="376" t="s">
        <v>171</v>
      </c>
      <c r="N113" s="376" t="s">
        <v>172</v>
      </c>
      <c r="O113" s="379">
        <v>1</v>
      </c>
      <c r="P113" s="385">
        <v>0.78</v>
      </c>
      <c r="Q113" s="385">
        <v>0.78</v>
      </c>
      <c r="R113" s="380">
        <v>80</v>
      </c>
      <c r="S113" s="385">
        <v>0.78</v>
      </c>
      <c r="T113" s="380">
        <v>23549.65</v>
      </c>
      <c r="U113" s="380">
        <v>0</v>
      </c>
      <c r="V113" s="380">
        <v>14512.52</v>
      </c>
      <c r="W113" s="380">
        <v>20766.72</v>
      </c>
      <c r="X113" s="380">
        <v>13758.84</v>
      </c>
      <c r="Y113" s="380">
        <v>20766.72</v>
      </c>
      <c r="Z113" s="380">
        <v>13657.09</v>
      </c>
      <c r="AA113" s="376" t="s">
        <v>598</v>
      </c>
      <c r="AB113" s="376" t="s">
        <v>599</v>
      </c>
      <c r="AC113" s="376" t="s">
        <v>600</v>
      </c>
      <c r="AD113" s="376" t="s">
        <v>404</v>
      </c>
      <c r="AE113" s="376" t="s">
        <v>586</v>
      </c>
      <c r="AF113" s="376" t="s">
        <v>589</v>
      </c>
      <c r="AG113" s="376" t="s">
        <v>178</v>
      </c>
      <c r="AH113" s="381">
        <v>12.8</v>
      </c>
      <c r="AI113" s="379">
        <v>720</v>
      </c>
      <c r="AJ113" s="376" t="s">
        <v>179</v>
      </c>
      <c r="AK113" s="376" t="s">
        <v>180</v>
      </c>
      <c r="AL113" s="376" t="s">
        <v>181</v>
      </c>
      <c r="AM113" s="376" t="s">
        <v>182</v>
      </c>
      <c r="AN113" s="376" t="s">
        <v>68</v>
      </c>
      <c r="AO113" s="379">
        <v>80</v>
      </c>
      <c r="AP113" s="385">
        <v>1</v>
      </c>
      <c r="AQ113" s="385">
        <v>0.78</v>
      </c>
      <c r="AR113" s="383" t="s">
        <v>183</v>
      </c>
      <c r="AS113" s="387">
        <f t="shared" si="71"/>
        <v>0.78</v>
      </c>
      <c r="AT113">
        <f t="shared" si="72"/>
        <v>1</v>
      </c>
      <c r="AU113" s="387">
        <f>IF(AT113=0,"",IF(AND(AT113=1,M113="F",SUMIF(C2:C206,C113,AS2:AS206)&lt;=1),SUMIF(C2:C206,C113,AS2:AS206),IF(AND(AT113=1,M113="F",SUMIF(C2:C206,C113,AS2:AS206)&gt;1),1,"")))</f>
        <v>1</v>
      </c>
      <c r="AV113" s="387" t="str">
        <f>IF(AT113=0,"",IF(AND(AT113=3,M113="F",SUMIF(C2:C206,C113,AS2:AS206)&lt;=1),SUMIF(C2:C206,C113,AS2:AS206),IF(AND(AT113=3,M113="F",SUMIF(C2:C206,C113,AS2:AS206)&gt;1),1,"")))</f>
        <v/>
      </c>
      <c r="AW113" s="387">
        <f>SUMIF(C2:C206,C113,O2:O206)</f>
        <v>2</v>
      </c>
      <c r="AX113" s="387">
        <f>IF(AND(M113="F",AS113&lt;&gt;0),SUMIF(C2:C206,C113,W2:W206),0)</f>
        <v>26624</v>
      </c>
      <c r="AY113" s="387">
        <f t="shared" si="73"/>
        <v>20766.72</v>
      </c>
      <c r="AZ113" s="387" t="str">
        <f t="shared" si="74"/>
        <v/>
      </c>
      <c r="BA113" s="387">
        <f t="shared" si="75"/>
        <v>0</v>
      </c>
      <c r="BB113" s="387">
        <f t="shared" si="44"/>
        <v>9087</v>
      </c>
      <c r="BC113" s="387">
        <f t="shared" si="45"/>
        <v>0</v>
      </c>
      <c r="BD113" s="387">
        <f t="shared" si="46"/>
        <v>1287.53664</v>
      </c>
      <c r="BE113" s="387">
        <f t="shared" si="47"/>
        <v>301.11744000000004</v>
      </c>
      <c r="BF113" s="387">
        <f t="shared" si="48"/>
        <v>2479.5463680000003</v>
      </c>
      <c r="BG113" s="387">
        <f t="shared" si="49"/>
        <v>149.72805120000001</v>
      </c>
      <c r="BH113" s="387">
        <f t="shared" si="50"/>
        <v>101.756928</v>
      </c>
      <c r="BI113" s="387">
        <f t="shared" si="51"/>
        <v>63.546163200000002</v>
      </c>
      <c r="BJ113" s="387">
        <f t="shared" si="52"/>
        <v>288.65740799999998</v>
      </c>
      <c r="BK113" s="387">
        <f t="shared" si="53"/>
        <v>0</v>
      </c>
      <c r="BL113" s="387">
        <f t="shared" si="76"/>
        <v>4671.8889983999998</v>
      </c>
      <c r="BM113" s="387">
        <f t="shared" si="77"/>
        <v>0</v>
      </c>
      <c r="BN113" s="387">
        <f t="shared" si="54"/>
        <v>9087</v>
      </c>
      <c r="BO113" s="387">
        <f t="shared" si="55"/>
        <v>0</v>
      </c>
      <c r="BP113" s="387">
        <f t="shared" si="56"/>
        <v>1287.53664</v>
      </c>
      <c r="BQ113" s="387">
        <f t="shared" si="57"/>
        <v>301.11744000000004</v>
      </c>
      <c r="BR113" s="387">
        <f t="shared" si="58"/>
        <v>2479.5463680000003</v>
      </c>
      <c r="BS113" s="387">
        <f t="shared" si="59"/>
        <v>149.72805120000001</v>
      </c>
      <c r="BT113" s="387">
        <f t="shared" si="60"/>
        <v>0</v>
      </c>
      <c r="BU113" s="387">
        <f t="shared" si="61"/>
        <v>63.546163200000002</v>
      </c>
      <c r="BV113" s="387">
        <f t="shared" si="62"/>
        <v>288.65740799999998</v>
      </c>
      <c r="BW113" s="387">
        <f t="shared" si="63"/>
        <v>0</v>
      </c>
      <c r="BX113" s="387">
        <f t="shared" si="78"/>
        <v>4570.1320704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-101.756928</v>
      </c>
      <c r="CG113" s="387">
        <f t="shared" si="68"/>
        <v>0</v>
      </c>
      <c r="CH113" s="387">
        <f t="shared" si="69"/>
        <v>0</v>
      </c>
      <c r="CI113" s="387">
        <f t="shared" si="70"/>
        <v>0</v>
      </c>
      <c r="CJ113" s="387">
        <f t="shared" si="83"/>
        <v>-101.756928</v>
      </c>
      <c r="CK113" s="387" t="str">
        <f t="shared" si="84"/>
        <v/>
      </c>
      <c r="CL113" s="387" t="str">
        <f t="shared" si="85"/>
        <v/>
      </c>
      <c r="CM113" s="387" t="str">
        <f t="shared" si="86"/>
        <v/>
      </c>
      <c r="CN113" s="387" t="str">
        <f t="shared" si="87"/>
        <v>0001-00</v>
      </c>
    </row>
    <row r="114" spans="1:92" ht="15.75" thickBot="1" x14ac:dyDescent="0.3">
      <c r="A114" s="376" t="s">
        <v>161</v>
      </c>
      <c r="B114" s="376" t="s">
        <v>162</v>
      </c>
      <c r="C114" s="376" t="s">
        <v>601</v>
      </c>
      <c r="D114" s="376" t="s">
        <v>585</v>
      </c>
      <c r="E114" s="376" t="s">
        <v>165</v>
      </c>
      <c r="F114" s="377" t="s">
        <v>166</v>
      </c>
      <c r="G114" s="376" t="s">
        <v>583</v>
      </c>
      <c r="H114" s="378"/>
      <c r="I114" s="378"/>
      <c r="J114" s="376" t="s">
        <v>242</v>
      </c>
      <c r="K114" s="376" t="s">
        <v>586</v>
      </c>
      <c r="L114" s="376" t="s">
        <v>171</v>
      </c>
      <c r="M114" s="376" t="s">
        <v>171</v>
      </c>
      <c r="N114" s="376" t="s">
        <v>172</v>
      </c>
      <c r="O114" s="379">
        <v>1</v>
      </c>
      <c r="P114" s="385">
        <v>0.78</v>
      </c>
      <c r="Q114" s="385">
        <v>0.78</v>
      </c>
      <c r="R114" s="380">
        <v>80</v>
      </c>
      <c r="S114" s="385">
        <v>0.78</v>
      </c>
      <c r="T114" s="380">
        <v>21478.69</v>
      </c>
      <c r="U114" s="380">
        <v>0</v>
      </c>
      <c r="V114" s="380">
        <v>14113.68</v>
      </c>
      <c r="W114" s="380">
        <v>23508.57</v>
      </c>
      <c r="X114" s="380">
        <v>14375.7</v>
      </c>
      <c r="Y114" s="380">
        <v>23508.57</v>
      </c>
      <c r="Z114" s="380">
        <v>14260.51</v>
      </c>
      <c r="AA114" s="376" t="s">
        <v>602</v>
      </c>
      <c r="AB114" s="376" t="s">
        <v>603</v>
      </c>
      <c r="AC114" s="376" t="s">
        <v>604</v>
      </c>
      <c r="AD114" s="376" t="s">
        <v>324</v>
      </c>
      <c r="AE114" s="376" t="s">
        <v>586</v>
      </c>
      <c r="AF114" s="376" t="s">
        <v>589</v>
      </c>
      <c r="AG114" s="376" t="s">
        <v>178</v>
      </c>
      <c r="AH114" s="381">
        <v>14.49</v>
      </c>
      <c r="AI114" s="379">
        <v>3920</v>
      </c>
      <c r="AJ114" s="376" t="s">
        <v>179</v>
      </c>
      <c r="AK114" s="376" t="s">
        <v>180</v>
      </c>
      <c r="AL114" s="376" t="s">
        <v>181</v>
      </c>
      <c r="AM114" s="376" t="s">
        <v>182</v>
      </c>
      <c r="AN114" s="376" t="s">
        <v>68</v>
      </c>
      <c r="AO114" s="379">
        <v>80</v>
      </c>
      <c r="AP114" s="385">
        <v>1</v>
      </c>
      <c r="AQ114" s="385">
        <v>0.78</v>
      </c>
      <c r="AR114" s="383" t="s">
        <v>183</v>
      </c>
      <c r="AS114" s="387">
        <f t="shared" si="71"/>
        <v>0.78</v>
      </c>
      <c r="AT114">
        <f t="shared" si="72"/>
        <v>1</v>
      </c>
      <c r="AU114" s="387">
        <f>IF(AT114=0,"",IF(AND(AT114=1,M114="F",SUMIF(C2:C206,C114,AS2:AS206)&lt;=1),SUMIF(C2:C206,C114,AS2:AS206),IF(AND(AT114=1,M114="F",SUMIF(C2:C206,C114,AS2:AS206)&gt;1),1,"")))</f>
        <v>1</v>
      </c>
      <c r="AV114" s="387" t="str">
        <f>IF(AT114=0,"",IF(AND(AT114=3,M114="F",SUMIF(C2:C206,C114,AS2:AS206)&lt;=1),SUMIF(C2:C206,C114,AS2:AS206),IF(AND(AT114=3,M114="F",SUMIF(C2:C206,C114,AS2:AS206)&gt;1),1,"")))</f>
        <v/>
      </c>
      <c r="AW114" s="387">
        <f>SUMIF(C2:C206,C114,O2:O206)</f>
        <v>2</v>
      </c>
      <c r="AX114" s="387">
        <f>IF(AND(M114="F",AS114&lt;&gt;0),SUMIF(C2:C206,C114,W2:W206),0)</f>
        <v>30139.19</v>
      </c>
      <c r="AY114" s="387">
        <f t="shared" si="73"/>
        <v>23508.57</v>
      </c>
      <c r="AZ114" s="387" t="str">
        <f t="shared" si="74"/>
        <v/>
      </c>
      <c r="BA114" s="387">
        <f t="shared" si="75"/>
        <v>0</v>
      </c>
      <c r="BB114" s="387">
        <f t="shared" si="44"/>
        <v>9087</v>
      </c>
      <c r="BC114" s="387">
        <f t="shared" si="45"/>
        <v>0</v>
      </c>
      <c r="BD114" s="387">
        <f t="shared" si="46"/>
        <v>1457.53134</v>
      </c>
      <c r="BE114" s="387">
        <f t="shared" si="47"/>
        <v>340.87426500000004</v>
      </c>
      <c r="BF114" s="387">
        <f t="shared" si="48"/>
        <v>2806.9232580000003</v>
      </c>
      <c r="BG114" s="387">
        <f t="shared" si="49"/>
        <v>169.49678969999999</v>
      </c>
      <c r="BH114" s="387">
        <f t="shared" si="50"/>
        <v>115.191993</v>
      </c>
      <c r="BI114" s="387">
        <f t="shared" si="51"/>
        <v>71.936224199999998</v>
      </c>
      <c r="BJ114" s="387">
        <f t="shared" si="52"/>
        <v>326.76912299999998</v>
      </c>
      <c r="BK114" s="387">
        <f t="shared" si="53"/>
        <v>0</v>
      </c>
      <c r="BL114" s="387">
        <f t="shared" si="76"/>
        <v>5288.7229929000005</v>
      </c>
      <c r="BM114" s="387">
        <f t="shared" si="77"/>
        <v>0</v>
      </c>
      <c r="BN114" s="387">
        <f t="shared" si="54"/>
        <v>9087</v>
      </c>
      <c r="BO114" s="387">
        <f t="shared" si="55"/>
        <v>0</v>
      </c>
      <c r="BP114" s="387">
        <f t="shared" si="56"/>
        <v>1457.53134</v>
      </c>
      <c r="BQ114" s="387">
        <f t="shared" si="57"/>
        <v>340.87426500000004</v>
      </c>
      <c r="BR114" s="387">
        <f t="shared" si="58"/>
        <v>2806.9232580000003</v>
      </c>
      <c r="BS114" s="387">
        <f t="shared" si="59"/>
        <v>169.49678969999999</v>
      </c>
      <c r="BT114" s="387">
        <f t="shared" si="60"/>
        <v>0</v>
      </c>
      <c r="BU114" s="387">
        <f t="shared" si="61"/>
        <v>71.936224199999998</v>
      </c>
      <c r="BV114" s="387">
        <f t="shared" si="62"/>
        <v>326.76912299999998</v>
      </c>
      <c r="BW114" s="387">
        <f t="shared" si="63"/>
        <v>0</v>
      </c>
      <c r="BX114" s="387">
        <f t="shared" si="78"/>
        <v>5173.5309999000001</v>
      </c>
      <c r="BY114" s="387">
        <f t="shared" si="79"/>
        <v>0</v>
      </c>
      <c r="BZ114" s="387">
        <f t="shared" si="80"/>
        <v>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0</v>
      </c>
      <c r="CE114" s="387">
        <f t="shared" si="66"/>
        <v>0</v>
      </c>
      <c r="CF114" s="387">
        <f t="shared" si="67"/>
        <v>-115.191993</v>
      </c>
      <c r="CG114" s="387">
        <f t="shared" si="68"/>
        <v>0</v>
      </c>
      <c r="CH114" s="387">
        <f t="shared" si="69"/>
        <v>0</v>
      </c>
      <c r="CI114" s="387">
        <f t="shared" si="70"/>
        <v>0</v>
      </c>
      <c r="CJ114" s="387">
        <f t="shared" si="83"/>
        <v>-115.191993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0001-00</v>
      </c>
    </row>
    <row r="115" spans="1:92" ht="15.75" thickBot="1" x14ac:dyDescent="0.3">
      <c r="A115" s="376" t="s">
        <v>161</v>
      </c>
      <c r="B115" s="376" t="s">
        <v>162</v>
      </c>
      <c r="C115" s="376" t="s">
        <v>605</v>
      </c>
      <c r="D115" s="376" t="s">
        <v>606</v>
      </c>
      <c r="E115" s="376" t="s">
        <v>165</v>
      </c>
      <c r="F115" s="377" t="s">
        <v>166</v>
      </c>
      <c r="G115" s="376" t="s">
        <v>583</v>
      </c>
      <c r="H115" s="378"/>
      <c r="I115" s="378"/>
      <c r="J115" s="376" t="s">
        <v>242</v>
      </c>
      <c r="K115" s="376" t="s">
        <v>607</v>
      </c>
      <c r="L115" s="376" t="s">
        <v>171</v>
      </c>
      <c r="M115" s="376" t="s">
        <v>171</v>
      </c>
      <c r="N115" s="376" t="s">
        <v>172</v>
      </c>
      <c r="O115" s="379">
        <v>1</v>
      </c>
      <c r="P115" s="385">
        <v>0.78</v>
      </c>
      <c r="Q115" s="385">
        <v>0.78</v>
      </c>
      <c r="R115" s="380">
        <v>80</v>
      </c>
      <c r="S115" s="385">
        <v>0.78</v>
      </c>
      <c r="T115" s="380">
        <v>27128.62</v>
      </c>
      <c r="U115" s="380">
        <v>0</v>
      </c>
      <c r="V115" s="380">
        <v>15485.89</v>
      </c>
      <c r="W115" s="380">
        <v>29576.35</v>
      </c>
      <c r="X115" s="380">
        <v>15740.77</v>
      </c>
      <c r="Y115" s="380">
        <v>29576.35</v>
      </c>
      <c r="Z115" s="380">
        <v>15595.85</v>
      </c>
      <c r="AA115" s="376" t="s">
        <v>608</v>
      </c>
      <c r="AB115" s="376" t="s">
        <v>609</v>
      </c>
      <c r="AC115" s="376" t="s">
        <v>610</v>
      </c>
      <c r="AD115" s="376" t="s">
        <v>228</v>
      </c>
      <c r="AE115" s="376" t="s">
        <v>607</v>
      </c>
      <c r="AF115" s="376" t="s">
        <v>589</v>
      </c>
      <c r="AG115" s="376" t="s">
        <v>178</v>
      </c>
      <c r="AH115" s="381">
        <v>18.23</v>
      </c>
      <c r="AI115" s="379">
        <v>45836</v>
      </c>
      <c r="AJ115" s="376" t="s">
        <v>179</v>
      </c>
      <c r="AK115" s="376" t="s">
        <v>180</v>
      </c>
      <c r="AL115" s="376" t="s">
        <v>181</v>
      </c>
      <c r="AM115" s="376" t="s">
        <v>182</v>
      </c>
      <c r="AN115" s="376" t="s">
        <v>68</v>
      </c>
      <c r="AO115" s="379">
        <v>80</v>
      </c>
      <c r="AP115" s="385">
        <v>1</v>
      </c>
      <c r="AQ115" s="385">
        <v>0.78</v>
      </c>
      <c r="AR115" s="383" t="s">
        <v>183</v>
      </c>
      <c r="AS115" s="387">
        <f t="shared" si="71"/>
        <v>0.78</v>
      </c>
      <c r="AT115">
        <f t="shared" si="72"/>
        <v>1</v>
      </c>
      <c r="AU115" s="387">
        <f>IF(AT115=0,"",IF(AND(AT115=1,M115="F",SUMIF(C2:C206,C115,AS2:AS206)&lt;=1),SUMIF(C2:C206,C115,AS2:AS206),IF(AND(AT115=1,M115="F",SUMIF(C2:C206,C115,AS2:AS206)&gt;1),1,"")))</f>
        <v>1</v>
      </c>
      <c r="AV115" s="387" t="str">
        <f>IF(AT115=0,"",IF(AND(AT115=3,M115="F",SUMIF(C2:C206,C115,AS2:AS206)&lt;=1),SUMIF(C2:C206,C115,AS2:AS206),IF(AND(AT115=3,M115="F",SUMIF(C2:C206,C115,AS2:AS206)&gt;1),1,"")))</f>
        <v/>
      </c>
      <c r="AW115" s="387">
        <f>SUMIF(C2:C206,C115,O2:O206)</f>
        <v>2</v>
      </c>
      <c r="AX115" s="387">
        <f>IF(AND(M115="F",AS115&lt;&gt;0),SUMIF(C2:C206,C115,W2:W206),0)</f>
        <v>37918.39</v>
      </c>
      <c r="AY115" s="387">
        <f t="shared" si="73"/>
        <v>29576.35</v>
      </c>
      <c r="AZ115" s="387" t="str">
        <f t="shared" si="74"/>
        <v/>
      </c>
      <c r="BA115" s="387">
        <f t="shared" si="75"/>
        <v>0</v>
      </c>
      <c r="BB115" s="387">
        <f t="shared" si="44"/>
        <v>9087</v>
      </c>
      <c r="BC115" s="387">
        <f t="shared" si="45"/>
        <v>0</v>
      </c>
      <c r="BD115" s="387">
        <f t="shared" si="46"/>
        <v>1833.7337</v>
      </c>
      <c r="BE115" s="387">
        <f t="shared" si="47"/>
        <v>428.85707500000001</v>
      </c>
      <c r="BF115" s="387">
        <f t="shared" si="48"/>
        <v>3531.4161899999999</v>
      </c>
      <c r="BG115" s="387">
        <f t="shared" si="49"/>
        <v>213.24548350000001</v>
      </c>
      <c r="BH115" s="387">
        <f t="shared" si="50"/>
        <v>144.924115</v>
      </c>
      <c r="BI115" s="387">
        <f t="shared" si="51"/>
        <v>90.503630999999984</v>
      </c>
      <c r="BJ115" s="387">
        <f t="shared" si="52"/>
        <v>411.11126499999995</v>
      </c>
      <c r="BK115" s="387">
        <f t="shared" si="53"/>
        <v>0</v>
      </c>
      <c r="BL115" s="387">
        <f t="shared" si="76"/>
        <v>6653.7914594999993</v>
      </c>
      <c r="BM115" s="387">
        <f t="shared" si="77"/>
        <v>0</v>
      </c>
      <c r="BN115" s="387">
        <f t="shared" si="54"/>
        <v>9087</v>
      </c>
      <c r="BO115" s="387">
        <f t="shared" si="55"/>
        <v>0</v>
      </c>
      <c r="BP115" s="387">
        <f t="shared" si="56"/>
        <v>1833.7337</v>
      </c>
      <c r="BQ115" s="387">
        <f t="shared" si="57"/>
        <v>428.85707500000001</v>
      </c>
      <c r="BR115" s="387">
        <f t="shared" si="58"/>
        <v>3531.4161899999999</v>
      </c>
      <c r="BS115" s="387">
        <f t="shared" si="59"/>
        <v>213.24548350000001</v>
      </c>
      <c r="BT115" s="387">
        <f t="shared" si="60"/>
        <v>0</v>
      </c>
      <c r="BU115" s="387">
        <f t="shared" si="61"/>
        <v>90.503630999999984</v>
      </c>
      <c r="BV115" s="387">
        <f t="shared" si="62"/>
        <v>411.11126499999995</v>
      </c>
      <c r="BW115" s="387">
        <f t="shared" si="63"/>
        <v>0</v>
      </c>
      <c r="BX115" s="387">
        <f t="shared" si="78"/>
        <v>6508.8673444999995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-144.924115</v>
      </c>
      <c r="CG115" s="387">
        <f t="shared" si="68"/>
        <v>0</v>
      </c>
      <c r="CH115" s="387">
        <f t="shared" si="69"/>
        <v>0</v>
      </c>
      <c r="CI115" s="387">
        <f t="shared" si="70"/>
        <v>0</v>
      </c>
      <c r="CJ115" s="387">
        <f t="shared" si="83"/>
        <v>-144.924115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0001-00</v>
      </c>
    </row>
    <row r="116" spans="1:92" ht="15.75" thickBot="1" x14ac:dyDescent="0.3">
      <c r="A116" s="376" t="s">
        <v>161</v>
      </c>
      <c r="B116" s="376" t="s">
        <v>162</v>
      </c>
      <c r="C116" s="376" t="s">
        <v>611</v>
      </c>
      <c r="D116" s="376" t="s">
        <v>585</v>
      </c>
      <c r="E116" s="376" t="s">
        <v>165</v>
      </c>
      <c r="F116" s="377" t="s">
        <v>166</v>
      </c>
      <c r="G116" s="376" t="s">
        <v>583</v>
      </c>
      <c r="H116" s="378"/>
      <c r="I116" s="378"/>
      <c r="J116" s="376" t="s">
        <v>242</v>
      </c>
      <c r="K116" s="376" t="s">
        <v>586</v>
      </c>
      <c r="L116" s="376" t="s">
        <v>171</v>
      </c>
      <c r="M116" s="376" t="s">
        <v>171</v>
      </c>
      <c r="N116" s="376" t="s">
        <v>172</v>
      </c>
      <c r="O116" s="379">
        <v>1</v>
      </c>
      <c r="P116" s="385">
        <v>0.78</v>
      </c>
      <c r="Q116" s="385">
        <v>0.78</v>
      </c>
      <c r="R116" s="380">
        <v>80</v>
      </c>
      <c r="S116" s="385">
        <v>0.78</v>
      </c>
      <c r="T116" s="380">
        <v>19395.349999999999</v>
      </c>
      <c r="U116" s="380">
        <v>0</v>
      </c>
      <c r="V116" s="380">
        <v>13811.68</v>
      </c>
      <c r="W116" s="380">
        <v>23622.14</v>
      </c>
      <c r="X116" s="380">
        <v>14401.24</v>
      </c>
      <c r="Y116" s="380">
        <v>23622.14</v>
      </c>
      <c r="Z116" s="380">
        <v>14285.49</v>
      </c>
      <c r="AA116" s="376" t="s">
        <v>612</v>
      </c>
      <c r="AB116" s="376" t="s">
        <v>613</v>
      </c>
      <c r="AC116" s="376" t="s">
        <v>614</v>
      </c>
      <c r="AD116" s="376" t="s">
        <v>615</v>
      </c>
      <c r="AE116" s="376" t="s">
        <v>586</v>
      </c>
      <c r="AF116" s="376" t="s">
        <v>589</v>
      </c>
      <c r="AG116" s="376" t="s">
        <v>178</v>
      </c>
      <c r="AH116" s="381">
        <v>14.56</v>
      </c>
      <c r="AI116" s="379">
        <v>2464</v>
      </c>
      <c r="AJ116" s="376" t="s">
        <v>179</v>
      </c>
      <c r="AK116" s="376" t="s">
        <v>180</v>
      </c>
      <c r="AL116" s="376" t="s">
        <v>181</v>
      </c>
      <c r="AM116" s="376" t="s">
        <v>182</v>
      </c>
      <c r="AN116" s="376" t="s">
        <v>68</v>
      </c>
      <c r="AO116" s="379">
        <v>80</v>
      </c>
      <c r="AP116" s="385">
        <v>1</v>
      </c>
      <c r="AQ116" s="385">
        <v>0.78</v>
      </c>
      <c r="AR116" s="383" t="s">
        <v>183</v>
      </c>
      <c r="AS116" s="387">
        <f t="shared" si="71"/>
        <v>0.78</v>
      </c>
      <c r="AT116">
        <f t="shared" si="72"/>
        <v>1</v>
      </c>
      <c r="AU116" s="387">
        <f>IF(AT116=0,"",IF(AND(AT116=1,M116="F",SUMIF(C2:C206,C116,AS2:AS206)&lt;=1),SUMIF(C2:C206,C116,AS2:AS206),IF(AND(AT116=1,M116="F",SUMIF(C2:C206,C116,AS2:AS206)&gt;1),1,"")))</f>
        <v>1</v>
      </c>
      <c r="AV116" s="387" t="str">
        <f>IF(AT116=0,"",IF(AND(AT116=3,M116="F",SUMIF(C2:C206,C116,AS2:AS206)&lt;=1),SUMIF(C2:C206,C116,AS2:AS206),IF(AND(AT116=3,M116="F",SUMIF(C2:C206,C116,AS2:AS206)&gt;1),1,"")))</f>
        <v/>
      </c>
      <c r="AW116" s="387">
        <f>SUMIF(C2:C206,C116,O2:O206)</f>
        <v>2</v>
      </c>
      <c r="AX116" s="387">
        <f>IF(AND(M116="F",AS116&lt;&gt;0),SUMIF(C2:C206,C116,W2:W206),0)</f>
        <v>30284.79</v>
      </c>
      <c r="AY116" s="387">
        <f t="shared" si="73"/>
        <v>23622.14</v>
      </c>
      <c r="AZ116" s="387" t="str">
        <f t="shared" si="74"/>
        <v/>
      </c>
      <c r="BA116" s="387">
        <f t="shared" si="75"/>
        <v>0</v>
      </c>
      <c r="BB116" s="387">
        <f t="shared" si="44"/>
        <v>9087</v>
      </c>
      <c r="BC116" s="387">
        <f t="shared" si="45"/>
        <v>0</v>
      </c>
      <c r="BD116" s="387">
        <f t="shared" si="46"/>
        <v>1464.57268</v>
      </c>
      <c r="BE116" s="387">
        <f t="shared" si="47"/>
        <v>342.52103</v>
      </c>
      <c r="BF116" s="387">
        <f t="shared" si="48"/>
        <v>2820.4835160000002</v>
      </c>
      <c r="BG116" s="387">
        <f t="shared" si="49"/>
        <v>170.31562940000001</v>
      </c>
      <c r="BH116" s="387">
        <f t="shared" si="50"/>
        <v>115.748486</v>
      </c>
      <c r="BI116" s="387">
        <f t="shared" si="51"/>
        <v>72.283748399999993</v>
      </c>
      <c r="BJ116" s="387">
        <f t="shared" si="52"/>
        <v>328.34774599999997</v>
      </c>
      <c r="BK116" s="387">
        <f t="shared" si="53"/>
        <v>0</v>
      </c>
      <c r="BL116" s="387">
        <f t="shared" si="76"/>
        <v>5314.2728358000013</v>
      </c>
      <c r="BM116" s="387">
        <f t="shared" si="77"/>
        <v>0</v>
      </c>
      <c r="BN116" s="387">
        <f t="shared" si="54"/>
        <v>9087</v>
      </c>
      <c r="BO116" s="387">
        <f t="shared" si="55"/>
        <v>0</v>
      </c>
      <c r="BP116" s="387">
        <f t="shared" si="56"/>
        <v>1464.57268</v>
      </c>
      <c r="BQ116" s="387">
        <f t="shared" si="57"/>
        <v>342.52103</v>
      </c>
      <c r="BR116" s="387">
        <f t="shared" si="58"/>
        <v>2820.4835160000002</v>
      </c>
      <c r="BS116" s="387">
        <f t="shared" si="59"/>
        <v>170.31562940000001</v>
      </c>
      <c r="BT116" s="387">
        <f t="shared" si="60"/>
        <v>0</v>
      </c>
      <c r="BU116" s="387">
        <f t="shared" si="61"/>
        <v>72.283748399999993</v>
      </c>
      <c r="BV116" s="387">
        <f t="shared" si="62"/>
        <v>328.34774599999997</v>
      </c>
      <c r="BW116" s="387">
        <f t="shared" si="63"/>
        <v>0</v>
      </c>
      <c r="BX116" s="387">
        <f t="shared" si="78"/>
        <v>5198.5243498000009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-115.748486</v>
      </c>
      <c r="CG116" s="387">
        <f t="shared" si="68"/>
        <v>0</v>
      </c>
      <c r="CH116" s="387">
        <f t="shared" si="69"/>
        <v>0</v>
      </c>
      <c r="CI116" s="387">
        <f t="shared" si="70"/>
        <v>0</v>
      </c>
      <c r="CJ116" s="387">
        <f t="shared" si="83"/>
        <v>-115.748486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0001-00</v>
      </c>
    </row>
    <row r="117" spans="1:92" ht="15.75" thickBot="1" x14ac:dyDescent="0.3">
      <c r="A117" s="376" t="s">
        <v>161</v>
      </c>
      <c r="B117" s="376" t="s">
        <v>162</v>
      </c>
      <c r="C117" s="376" t="s">
        <v>616</v>
      </c>
      <c r="D117" s="376" t="s">
        <v>585</v>
      </c>
      <c r="E117" s="376" t="s">
        <v>165</v>
      </c>
      <c r="F117" s="377" t="s">
        <v>166</v>
      </c>
      <c r="G117" s="376" t="s">
        <v>583</v>
      </c>
      <c r="H117" s="378"/>
      <c r="I117" s="378"/>
      <c r="J117" s="376" t="s">
        <v>242</v>
      </c>
      <c r="K117" s="376" t="s">
        <v>586</v>
      </c>
      <c r="L117" s="376" t="s">
        <v>171</v>
      </c>
      <c r="M117" s="376" t="s">
        <v>171</v>
      </c>
      <c r="N117" s="376" t="s">
        <v>172</v>
      </c>
      <c r="O117" s="379">
        <v>1</v>
      </c>
      <c r="P117" s="385">
        <v>0.78</v>
      </c>
      <c r="Q117" s="385">
        <v>0.78</v>
      </c>
      <c r="R117" s="380">
        <v>80</v>
      </c>
      <c r="S117" s="385">
        <v>0.78</v>
      </c>
      <c r="T117" s="380">
        <v>15272.27</v>
      </c>
      <c r="U117" s="380">
        <v>233.77</v>
      </c>
      <c r="V117" s="380">
        <v>11214.8</v>
      </c>
      <c r="W117" s="380">
        <v>20766.72</v>
      </c>
      <c r="X117" s="380">
        <v>13758.84</v>
      </c>
      <c r="Y117" s="380">
        <v>20766.72</v>
      </c>
      <c r="Z117" s="380">
        <v>13657.09</v>
      </c>
      <c r="AA117" s="376" t="s">
        <v>617</v>
      </c>
      <c r="AB117" s="376" t="s">
        <v>618</v>
      </c>
      <c r="AC117" s="376" t="s">
        <v>619</v>
      </c>
      <c r="AD117" s="376" t="s">
        <v>279</v>
      </c>
      <c r="AE117" s="376" t="s">
        <v>586</v>
      </c>
      <c r="AF117" s="376" t="s">
        <v>589</v>
      </c>
      <c r="AG117" s="376" t="s">
        <v>178</v>
      </c>
      <c r="AH117" s="381">
        <v>12.8</v>
      </c>
      <c r="AI117" s="379">
        <v>1110</v>
      </c>
      <c r="AJ117" s="376" t="s">
        <v>179</v>
      </c>
      <c r="AK117" s="376" t="s">
        <v>180</v>
      </c>
      <c r="AL117" s="376" t="s">
        <v>181</v>
      </c>
      <c r="AM117" s="376" t="s">
        <v>182</v>
      </c>
      <c r="AN117" s="376" t="s">
        <v>68</v>
      </c>
      <c r="AO117" s="379">
        <v>80</v>
      </c>
      <c r="AP117" s="385">
        <v>1</v>
      </c>
      <c r="AQ117" s="385">
        <v>0.78</v>
      </c>
      <c r="AR117" s="383" t="s">
        <v>183</v>
      </c>
      <c r="AS117" s="387">
        <f t="shared" si="71"/>
        <v>0.78</v>
      </c>
      <c r="AT117">
        <f t="shared" si="72"/>
        <v>1</v>
      </c>
      <c r="AU117" s="387">
        <f>IF(AT117=0,"",IF(AND(AT117=1,M117="F",SUMIF(C2:C206,C117,AS2:AS206)&lt;=1),SUMIF(C2:C206,C117,AS2:AS206),IF(AND(AT117=1,M117="F",SUMIF(C2:C206,C117,AS2:AS206)&gt;1),1,"")))</f>
        <v>1</v>
      </c>
      <c r="AV117" s="387" t="str">
        <f>IF(AT117=0,"",IF(AND(AT117=3,M117="F",SUMIF(C2:C206,C117,AS2:AS206)&lt;=1),SUMIF(C2:C206,C117,AS2:AS206),IF(AND(AT117=3,M117="F",SUMIF(C2:C206,C117,AS2:AS206)&gt;1),1,"")))</f>
        <v/>
      </c>
      <c r="AW117" s="387">
        <f>SUMIF(C2:C206,C117,O2:O206)</f>
        <v>2</v>
      </c>
      <c r="AX117" s="387">
        <f>IF(AND(M117="F",AS117&lt;&gt;0),SUMIF(C2:C206,C117,W2:W206),0)</f>
        <v>26624</v>
      </c>
      <c r="AY117" s="387">
        <f t="shared" si="73"/>
        <v>20766.72</v>
      </c>
      <c r="AZ117" s="387" t="str">
        <f t="shared" si="74"/>
        <v/>
      </c>
      <c r="BA117" s="387">
        <f t="shared" si="75"/>
        <v>0</v>
      </c>
      <c r="BB117" s="387">
        <f t="shared" si="44"/>
        <v>9087</v>
      </c>
      <c r="BC117" s="387">
        <f t="shared" si="45"/>
        <v>0</v>
      </c>
      <c r="BD117" s="387">
        <f t="shared" si="46"/>
        <v>1287.53664</v>
      </c>
      <c r="BE117" s="387">
        <f t="shared" si="47"/>
        <v>301.11744000000004</v>
      </c>
      <c r="BF117" s="387">
        <f t="shared" si="48"/>
        <v>2479.5463680000003</v>
      </c>
      <c r="BG117" s="387">
        <f t="shared" si="49"/>
        <v>149.72805120000001</v>
      </c>
      <c r="BH117" s="387">
        <f t="shared" si="50"/>
        <v>101.756928</v>
      </c>
      <c r="BI117" s="387">
        <f t="shared" si="51"/>
        <v>63.546163200000002</v>
      </c>
      <c r="BJ117" s="387">
        <f t="shared" si="52"/>
        <v>288.65740799999998</v>
      </c>
      <c r="BK117" s="387">
        <f t="shared" si="53"/>
        <v>0</v>
      </c>
      <c r="BL117" s="387">
        <f t="shared" si="76"/>
        <v>4671.8889983999998</v>
      </c>
      <c r="BM117" s="387">
        <f t="shared" si="77"/>
        <v>0</v>
      </c>
      <c r="BN117" s="387">
        <f t="shared" si="54"/>
        <v>9087</v>
      </c>
      <c r="BO117" s="387">
        <f t="shared" si="55"/>
        <v>0</v>
      </c>
      <c r="BP117" s="387">
        <f t="shared" si="56"/>
        <v>1287.53664</v>
      </c>
      <c r="BQ117" s="387">
        <f t="shared" si="57"/>
        <v>301.11744000000004</v>
      </c>
      <c r="BR117" s="387">
        <f t="shared" si="58"/>
        <v>2479.5463680000003</v>
      </c>
      <c r="BS117" s="387">
        <f t="shared" si="59"/>
        <v>149.72805120000001</v>
      </c>
      <c r="BT117" s="387">
        <f t="shared" si="60"/>
        <v>0</v>
      </c>
      <c r="BU117" s="387">
        <f t="shared" si="61"/>
        <v>63.546163200000002</v>
      </c>
      <c r="BV117" s="387">
        <f t="shared" si="62"/>
        <v>288.65740799999998</v>
      </c>
      <c r="BW117" s="387">
        <f t="shared" si="63"/>
        <v>0</v>
      </c>
      <c r="BX117" s="387">
        <f t="shared" si="78"/>
        <v>4570.1320704</v>
      </c>
      <c r="BY117" s="387">
        <f t="shared" si="79"/>
        <v>0</v>
      </c>
      <c r="BZ117" s="387">
        <f t="shared" si="80"/>
        <v>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0</v>
      </c>
      <c r="CE117" s="387">
        <f t="shared" si="66"/>
        <v>0</v>
      </c>
      <c r="CF117" s="387">
        <f t="shared" si="67"/>
        <v>-101.756928</v>
      </c>
      <c r="CG117" s="387">
        <f t="shared" si="68"/>
        <v>0</v>
      </c>
      <c r="CH117" s="387">
        <f t="shared" si="69"/>
        <v>0</v>
      </c>
      <c r="CI117" s="387">
        <f t="shared" si="70"/>
        <v>0</v>
      </c>
      <c r="CJ117" s="387">
        <f t="shared" si="83"/>
        <v>-101.756928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0001-00</v>
      </c>
    </row>
    <row r="118" spans="1:92" ht="15.75" thickBot="1" x14ac:dyDescent="0.3">
      <c r="A118" s="376" t="s">
        <v>161</v>
      </c>
      <c r="B118" s="376" t="s">
        <v>162</v>
      </c>
      <c r="C118" s="376" t="s">
        <v>620</v>
      </c>
      <c r="D118" s="376" t="s">
        <v>585</v>
      </c>
      <c r="E118" s="376" t="s">
        <v>165</v>
      </c>
      <c r="F118" s="377" t="s">
        <v>166</v>
      </c>
      <c r="G118" s="376" t="s">
        <v>583</v>
      </c>
      <c r="H118" s="378"/>
      <c r="I118" s="378"/>
      <c r="J118" s="376" t="s">
        <v>242</v>
      </c>
      <c r="K118" s="376" t="s">
        <v>586</v>
      </c>
      <c r="L118" s="376" t="s">
        <v>171</v>
      </c>
      <c r="M118" s="376" t="s">
        <v>171</v>
      </c>
      <c r="N118" s="376" t="s">
        <v>172</v>
      </c>
      <c r="O118" s="379">
        <v>1</v>
      </c>
      <c r="P118" s="385">
        <v>0.78</v>
      </c>
      <c r="Q118" s="385">
        <v>0.78</v>
      </c>
      <c r="R118" s="380">
        <v>80</v>
      </c>
      <c r="S118" s="385">
        <v>0.78</v>
      </c>
      <c r="T118" s="380">
        <v>21243.38</v>
      </c>
      <c r="U118" s="380">
        <v>0</v>
      </c>
      <c r="V118" s="380">
        <v>14368.83</v>
      </c>
      <c r="W118" s="380">
        <v>23897.95</v>
      </c>
      <c r="X118" s="380">
        <v>14463.29</v>
      </c>
      <c r="Y118" s="380">
        <v>23897.95</v>
      </c>
      <c r="Z118" s="380">
        <v>14346.2</v>
      </c>
      <c r="AA118" s="376" t="s">
        <v>621</v>
      </c>
      <c r="AB118" s="376" t="s">
        <v>622</v>
      </c>
      <c r="AC118" s="376" t="s">
        <v>623</v>
      </c>
      <c r="AD118" s="376" t="s">
        <v>624</v>
      </c>
      <c r="AE118" s="376" t="s">
        <v>586</v>
      </c>
      <c r="AF118" s="376" t="s">
        <v>589</v>
      </c>
      <c r="AG118" s="376" t="s">
        <v>178</v>
      </c>
      <c r="AH118" s="381">
        <v>14.73</v>
      </c>
      <c r="AI118" s="379">
        <v>2360</v>
      </c>
      <c r="AJ118" s="376" t="s">
        <v>179</v>
      </c>
      <c r="AK118" s="376" t="s">
        <v>180</v>
      </c>
      <c r="AL118" s="376" t="s">
        <v>181</v>
      </c>
      <c r="AM118" s="376" t="s">
        <v>182</v>
      </c>
      <c r="AN118" s="376" t="s">
        <v>68</v>
      </c>
      <c r="AO118" s="379">
        <v>80</v>
      </c>
      <c r="AP118" s="385">
        <v>1</v>
      </c>
      <c r="AQ118" s="385">
        <v>0.78</v>
      </c>
      <c r="AR118" s="383" t="s">
        <v>183</v>
      </c>
      <c r="AS118" s="387">
        <f t="shared" si="71"/>
        <v>0.78</v>
      </c>
      <c r="AT118">
        <f t="shared" si="72"/>
        <v>1</v>
      </c>
      <c r="AU118" s="387">
        <f>IF(AT118=0,"",IF(AND(AT118=1,M118="F",SUMIF(C2:C206,C118,AS2:AS206)&lt;=1),SUMIF(C2:C206,C118,AS2:AS206),IF(AND(AT118=1,M118="F",SUMIF(C2:C206,C118,AS2:AS206)&gt;1),1,"")))</f>
        <v>1</v>
      </c>
      <c r="AV118" s="387" t="str">
        <f>IF(AT118=0,"",IF(AND(AT118=3,M118="F",SUMIF(C2:C206,C118,AS2:AS206)&lt;=1),SUMIF(C2:C206,C118,AS2:AS206),IF(AND(AT118=3,M118="F",SUMIF(C2:C206,C118,AS2:AS206)&gt;1),1,"")))</f>
        <v/>
      </c>
      <c r="AW118" s="387">
        <f>SUMIF(C2:C206,C118,O2:O206)</f>
        <v>2</v>
      </c>
      <c r="AX118" s="387">
        <f>IF(AND(M118="F",AS118&lt;&gt;0),SUMIF(C2:C206,C118,W2:W206),0)</f>
        <v>30638.39</v>
      </c>
      <c r="AY118" s="387">
        <f t="shared" si="73"/>
        <v>23897.95</v>
      </c>
      <c r="AZ118" s="387" t="str">
        <f t="shared" si="74"/>
        <v/>
      </c>
      <c r="BA118" s="387">
        <f t="shared" si="75"/>
        <v>0</v>
      </c>
      <c r="BB118" s="387">
        <f t="shared" si="44"/>
        <v>9087</v>
      </c>
      <c r="BC118" s="387">
        <f t="shared" si="45"/>
        <v>0</v>
      </c>
      <c r="BD118" s="387">
        <f t="shared" si="46"/>
        <v>1481.6729</v>
      </c>
      <c r="BE118" s="387">
        <f t="shared" si="47"/>
        <v>346.52027500000003</v>
      </c>
      <c r="BF118" s="387">
        <f t="shared" si="48"/>
        <v>2853.4152300000001</v>
      </c>
      <c r="BG118" s="387">
        <f t="shared" si="49"/>
        <v>172.30421950000002</v>
      </c>
      <c r="BH118" s="387">
        <f t="shared" si="50"/>
        <v>117.09995499999999</v>
      </c>
      <c r="BI118" s="387">
        <f t="shared" si="51"/>
        <v>73.127726999999993</v>
      </c>
      <c r="BJ118" s="387">
        <f t="shared" si="52"/>
        <v>332.18150500000002</v>
      </c>
      <c r="BK118" s="387">
        <f t="shared" si="53"/>
        <v>0</v>
      </c>
      <c r="BL118" s="387">
        <f t="shared" si="76"/>
        <v>5376.3218115</v>
      </c>
      <c r="BM118" s="387">
        <f t="shared" si="77"/>
        <v>0</v>
      </c>
      <c r="BN118" s="387">
        <f t="shared" si="54"/>
        <v>9087</v>
      </c>
      <c r="BO118" s="387">
        <f t="shared" si="55"/>
        <v>0</v>
      </c>
      <c r="BP118" s="387">
        <f t="shared" si="56"/>
        <v>1481.6729</v>
      </c>
      <c r="BQ118" s="387">
        <f t="shared" si="57"/>
        <v>346.52027500000003</v>
      </c>
      <c r="BR118" s="387">
        <f t="shared" si="58"/>
        <v>2853.4152300000001</v>
      </c>
      <c r="BS118" s="387">
        <f t="shared" si="59"/>
        <v>172.30421950000002</v>
      </c>
      <c r="BT118" s="387">
        <f t="shared" si="60"/>
        <v>0</v>
      </c>
      <c r="BU118" s="387">
        <f t="shared" si="61"/>
        <v>73.127726999999993</v>
      </c>
      <c r="BV118" s="387">
        <f t="shared" si="62"/>
        <v>332.18150500000002</v>
      </c>
      <c r="BW118" s="387">
        <f t="shared" si="63"/>
        <v>0</v>
      </c>
      <c r="BX118" s="387">
        <f t="shared" si="78"/>
        <v>5259.2218565000003</v>
      </c>
      <c r="BY118" s="387">
        <f t="shared" si="79"/>
        <v>0</v>
      </c>
      <c r="BZ118" s="387">
        <f t="shared" si="80"/>
        <v>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0</v>
      </c>
      <c r="CE118" s="387">
        <f t="shared" si="66"/>
        <v>0</v>
      </c>
      <c r="CF118" s="387">
        <f t="shared" si="67"/>
        <v>-117.09995499999999</v>
      </c>
      <c r="CG118" s="387">
        <f t="shared" si="68"/>
        <v>0</v>
      </c>
      <c r="CH118" s="387">
        <f t="shared" si="69"/>
        <v>0</v>
      </c>
      <c r="CI118" s="387">
        <f t="shared" si="70"/>
        <v>0</v>
      </c>
      <c r="CJ118" s="387">
        <f t="shared" si="83"/>
        <v>-117.09995499999999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0001-00</v>
      </c>
    </row>
    <row r="119" spans="1:92" ht="15.75" thickBot="1" x14ac:dyDescent="0.3">
      <c r="A119" s="376" t="s">
        <v>161</v>
      </c>
      <c r="B119" s="376" t="s">
        <v>162</v>
      </c>
      <c r="C119" s="376" t="s">
        <v>625</v>
      </c>
      <c r="D119" s="376" t="s">
        <v>585</v>
      </c>
      <c r="E119" s="376" t="s">
        <v>165</v>
      </c>
      <c r="F119" s="377" t="s">
        <v>166</v>
      </c>
      <c r="G119" s="376" t="s">
        <v>583</v>
      </c>
      <c r="H119" s="378"/>
      <c r="I119" s="378"/>
      <c r="J119" s="376" t="s">
        <v>242</v>
      </c>
      <c r="K119" s="376" t="s">
        <v>586</v>
      </c>
      <c r="L119" s="376" t="s">
        <v>171</v>
      </c>
      <c r="M119" s="376" t="s">
        <v>171</v>
      </c>
      <c r="N119" s="376" t="s">
        <v>172</v>
      </c>
      <c r="O119" s="379">
        <v>1</v>
      </c>
      <c r="P119" s="385">
        <v>0.78</v>
      </c>
      <c r="Q119" s="385">
        <v>0.78</v>
      </c>
      <c r="R119" s="380">
        <v>80</v>
      </c>
      <c r="S119" s="385">
        <v>0.78</v>
      </c>
      <c r="T119" s="380">
        <v>20300.169999999998</v>
      </c>
      <c r="U119" s="380">
        <v>0</v>
      </c>
      <c r="V119" s="380">
        <v>13959.34</v>
      </c>
      <c r="W119" s="380">
        <v>20766.72</v>
      </c>
      <c r="X119" s="380">
        <v>13758.84</v>
      </c>
      <c r="Y119" s="380">
        <v>20766.72</v>
      </c>
      <c r="Z119" s="380">
        <v>13657.09</v>
      </c>
      <c r="AA119" s="376" t="s">
        <v>626</v>
      </c>
      <c r="AB119" s="376" t="s">
        <v>627</v>
      </c>
      <c r="AC119" s="376" t="s">
        <v>569</v>
      </c>
      <c r="AD119" s="376" t="s">
        <v>570</v>
      </c>
      <c r="AE119" s="376" t="s">
        <v>586</v>
      </c>
      <c r="AF119" s="376" t="s">
        <v>589</v>
      </c>
      <c r="AG119" s="376" t="s">
        <v>178</v>
      </c>
      <c r="AH119" s="381">
        <v>12.8</v>
      </c>
      <c r="AI119" s="379">
        <v>880</v>
      </c>
      <c r="AJ119" s="376" t="s">
        <v>179</v>
      </c>
      <c r="AK119" s="376" t="s">
        <v>180</v>
      </c>
      <c r="AL119" s="376" t="s">
        <v>181</v>
      </c>
      <c r="AM119" s="376" t="s">
        <v>182</v>
      </c>
      <c r="AN119" s="376" t="s">
        <v>68</v>
      </c>
      <c r="AO119" s="379">
        <v>80</v>
      </c>
      <c r="AP119" s="385">
        <v>1</v>
      </c>
      <c r="AQ119" s="385">
        <v>0.78</v>
      </c>
      <c r="AR119" s="383" t="s">
        <v>183</v>
      </c>
      <c r="AS119" s="387">
        <f t="shared" si="71"/>
        <v>0.78</v>
      </c>
      <c r="AT119">
        <f t="shared" si="72"/>
        <v>1</v>
      </c>
      <c r="AU119" s="387">
        <f>IF(AT119=0,"",IF(AND(AT119=1,M119="F",SUMIF(C2:C206,C119,AS2:AS206)&lt;=1),SUMIF(C2:C206,C119,AS2:AS206),IF(AND(AT119=1,M119="F",SUMIF(C2:C206,C119,AS2:AS206)&gt;1),1,"")))</f>
        <v>1</v>
      </c>
      <c r="AV119" s="387" t="str">
        <f>IF(AT119=0,"",IF(AND(AT119=3,M119="F",SUMIF(C2:C206,C119,AS2:AS206)&lt;=1),SUMIF(C2:C206,C119,AS2:AS206),IF(AND(AT119=3,M119="F",SUMIF(C2:C206,C119,AS2:AS206)&gt;1),1,"")))</f>
        <v/>
      </c>
      <c r="AW119" s="387">
        <f>SUMIF(C2:C206,C119,O2:O206)</f>
        <v>2</v>
      </c>
      <c r="AX119" s="387">
        <f>IF(AND(M119="F",AS119&lt;&gt;0),SUMIF(C2:C206,C119,W2:W206),0)</f>
        <v>26624</v>
      </c>
      <c r="AY119" s="387">
        <f t="shared" si="73"/>
        <v>20766.72</v>
      </c>
      <c r="AZ119" s="387" t="str">
        <f t="shared" si="74"/>
        <v/>
      </c>
      <c r="BA119" s="387">
        <f t="shared" si="75"/>
        <v>0</v>
      </c>
      <c r="BB119" s="387">
        <f t="shared" si="44"/>
        <v>9087</v>
      </c>
      <c r="BC119" s="387">
        <f t="shared" si="45"/>
        <v>0</v>
      </c>
      <c r="BD119" s="387">
        <f t="shared" si="46"/>
        <v>1287.53664</v>
      </c>
      <c r="BE119" s="387">
        <f t="shared" si="47"/>
        <v>301.11744000000004</v>
      </c>
      <c r="BF119" s="387">
        <f t="shared" si="48"/>
        <v>2479.5463680000003</v>
      </c>
      <c r="BG119" s="387">
        <f t="shared" si="49"/>
        <v>149.72805120000001</v>
      </c>
      <c r="BH119" s="387">
        <f t="shared" si="50"/>
        <v>101.756928</v>
      </c>
      <c r="BI119" s="387">
        <f t="shared" si="51"/>
        <v>63.546163200000002</v>
      </c>
      <c r="BJ119" s="387">
        <f t="shared" si="52"/>
        <v>288.65740799999998</v>
      </c>
      <c r="BK119" s="387">
        <f t="shared" si="53"/>
        <v>0</v>
      </c>
      <c r="BL119" s="387">
        <f t="shared" si="76"/>
        <v>4671.8889983999998</v>
      </c>
      <c r="BM119" s="387">
        <f t="shared" si="77"/>
        <v>0</v>
      </c>
      <c r="BN119" s="387">
        <f t="shared" si="54"/>
        <v>9087</v>
      </c>
      <c r="BO119" s="387">
        <f t="shared" si="55"/>
        <v>0</v>
      </c>
      <c r="BP119" s="387">
        <f t="shared" si="56"/>
        <v>1287.53664</v>
      </c>
      <c r="BQ119" s="387">
        <f t="shared" si="57"/>
        <v>301.11744000000004</v>
      </c>
      <c r="BR119" s="387">
        <f t="shared" si="58"/>
        <v>2479.5463680000003</v>
      </c>
      <c r="BS119" s="387">
        <f t="shared" si="59"/>
        <v>149.72805120000001</v>
      </c>
      <c r="BT119" s="387">
        <f t="shared" si="60"/>
        <v>0</v>
      </c>
      <c r="BU119" s="387">
        <f t="shared" si="61"/>
        <v>63.546163200000002</v>
      </c>
      <c r="BV119" s="387">
        <f t="shared" si="62"/>
        <v>288.65740799999998</v>
      </c>
      <c r="BW119" s="387">
        <f t="shared" si="63"/>
        <v>0</v>
      </c>
      <c r="BX119" s="387">
        <f t="shared" si="78"/>
        <v>4570.1320704</v>
      </c>
      <c r="BY119" s="387">
        <f t="shared" si="79"/>
        <v>0</v>
      </c>
      <c r="BZ119" s="387">
        <f t="shared" si="80"/>
        <v>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0</v>
      </c>
      <c r="CE119" s="387">
        <f t="shared" si="66"/>
        <v>0</v>
      </c>
      <c r="CF119" s="387">
        <f t="shared" si="67"/>
        <v>-101.756928</v>
      </c>
      <c r="CG119" s="387">
        <f t="shared" si="68"/>
        <v>0</v>
      </c>
      <c r="CH119" s="387">
        <f t="shared" si="69"/>
        <v>0</v>
      </c>
      <c r="CI119" s="387">
        <f t="shared" si="70"/>
        <v>0</v>
      </c>
      <c r="CJ119" s="387">
        <f t="shared" si="83"/>
        <v>-101.756928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0001-00</v>
      </c>
    </row>
    <row r="120" spans="1:92" ht="15.75" thickBot="1" x14ac:dyDescent="0.3">
      <c r="A120" s="376" t="s">
        <v>161</v>
      </c>
      <c r="B120" s="376" t="s">
        <v>162</v>
      </c>
      <c r="C120" s="376" t="s">
        <v>628</v>
      </c>
      <c r="D120" s="376" t="s">
        <v>320</v>
      </c>
      <c r="E120" s="376" t="s">
        <v>165</v>
      </c>
      <c r="F120" s="377" t="s">
        <v>166</v>
      </c>
      <c r="G120" s="376" t="s">
        <v>583</v>
      </c>
      <c r="H120" s="378"/>
      <c r="I120" s="378"/>
      <c r="J120" s="376" t="s">
        <v>242</v>
      </c>
      <c r="K120" s="376" t="s">
        <v>629</v>
      </c>
      <c r="L120" s="376" t="s">
        <v>283</v>
      </c>
      <c r="M120" s="376" t="s">
        <v>171</v>
      </c>
      <c r="N120" s="376" t="s">
        <v>172</v>
      </c>
      <c r="O120" s="379">
        <v>1</v>
      </c>
      <c r="P120" s="385">
        <v>0.78</v>
      </c>
      <c r="Q120" s="385">
        <v>0.78</v>
      </c>
      <c r="R120" s="380">
        <v>80</v>
      </c>
      <c r="S120" s="385">
        <v>0.78</v>
      </c>
      <c r="T120" s="380">
        <v>48390.73</v>
      </c>
      <c r="U120" s="380">
        <v>0</v>
      </c>
      <c r="V120" s="380">
        <v>19747.75</v>
      </c>
      <c r="W120" s="380">
        <v>52143.93</v>
      </c>
      <c r="X120" s="380">
        <v>20817.8</v>
      </c>
      <c r="Y120" s="380">
        <v>52143.93</v>
      </c>
      <c r="Z120" s="380">
        <v>20562.29</v>
      </c>
      <c r="AA120" s="376" t="s">
        <v>630</v>
      </c>
      <c r="AB120" s="376" t="s">
        <v>631</v>
      </c>
      <c r="AC120" s="376" t="s">
        <v>632</v>
      </c>
      <c r="AD120" s="376" t="s">
        <v>564</v>
      </c>
      <c r="AE120" s="376" t="s">
        <v>629</v>
      </c>
      <c r="AF120" s="376" t="s">
        <v>288</v>
      </c>
      <c r="AG120" s="376" t="s">
        <v>178</v>
      </c>
      <c r="AH120" s="381">
        <v>32.14</v>
      </c>
      <c r="AI120" s="381">
        <v>15222.5</v>
      </c>
      <c r="AJ120" s="376" t="s">
        <v>179</v>
      </c>
      <c r="AK120" s="376" t="s">
        <v>180</v>
      </c>
      <c r="AL120" s="376" t="s">
        <v>181</v>
      </c>
      <c r="AM120" s="376" t="s">
        <v>182</v>
      </c>
      <c r="AN120" s="376" t="s">
        <v>68</v>
      </c>
      <c r="AO120" s="379">
        <v>80</v>
      </c>
      <c r="AP120" s="385">
        <v>1</v>
      </c>
      <c r="AQ120" s="385">
        <v>0.78</v>
      </c>
      <c r="AR120" s="383" t="s">
        <v>183</v>
      </c>
      <c r="AS120" s="387">
        <f t="shared" si="71"/>
        <v>0.78</v>
      </c>
      <c r="AT120">
        <f t="shared" si="72"/>
        <v>1</v>
      </c>
      <c r="AU120" s="387">
        <f>IF(AT120=0,"",IF(AND(AT120=1,M120="F",SUMIF(C2:C206,C120,AS2:AS206)&lt;=1),SUMIF(C2:C206,C120,AS2:AS206),IF(AND(AT120=1,M120="F",SUMIF(C2:C206,C120,AS2:AS206)&gt;1),1,"")))</f>
        <v>1</v>
      </c>
      <c r="AV120" s="387" t="str">
        <f>IF(AT120=0,"",IF(AND(AT120=3,M120="F",SUMIF(C2:C206,C120,AS2:AS206)&lt;=1),SUMIF(C2:C206,C120,AS2:AS206),IF(AND(AT120=3,M120="F",SUMIF(C2:C206,C120,AS2:AS206)&gt;1),1,"")))</f>
        <v/>
      </c>
      <c r="AW120" s="387">
        <f>SUMIF(C2:C206,C120,O2:O206)</f>
        <v>2</v>
      </c>
      <c r="AX120" s="387">
        <f>IF(AND(M120="F",AS120&lt;&gt;0),SUMIF(C2:C206,C120,W2:W206),0)</f>
        <v>66851.19</v>
      </c>
      <c r="AY120" s="387">
        <f t="shared" si="73"/>
        <v>52143.93</v>
      </c>
      <c r="AZ120" s="387" t="str">
        <f t="shared" si="74"/>
        <v/>
      </c>
      <c r="BA120" s="387">
        <f t="shared" si="75"/>
        <v>0</v>
      </c>
      <c r="BB120" s="387">
        <f t="shared" si="44"/>
        <v>9087</v>
      </c>
      <c r="BC120" s="387">
        <f t="shared" si="45"/>
        <v>0</v>
      </c>
      <c r="BD120" s="387">
        <f t="shared" si="46"/>
        <v>3232.9236599999999</v>
      </c>
      <c r="BE120" s="387">
        <f t="shared" si="47"/>
        <v>756.08698500000003</v>
      </c>
      <c r="BF120" s="387">
        <f t="shared" si="48"/>
        <v>6225.9852420000007</v>
      </c>
      <c r="BG120" s="387">
        <f t="shared" si="49"/>
        <v>375.95773530000002</v>
      </c>
      <c r="BH120" s="387">
        <f t="shared" si="50"/>
        <v>255.505257</v>
      </c>
      <c r="BI120" s="387">
        <f t="shared" si="51"/>
        <v>159.56042579999999</v>
      </c>
      <c r="BJ120" s="387">
        <f t="shared" si="52"/>
        <v>724.80062699999996</v>
      </c>
      <c r="BK120" s="387">
        <f t="shared" si="53"/>
        <v>0</v>
      </c>
      <c r="BL120" s="387">
        <f t="shared" si="76"/>
        <v>11730.819932100003</v>
      </c>
      <c r="BM120" s="387">
        <f t="shared" si="77"/>
        <v>0</v>
      </c>
      <c r="BN120" s="387">
        <f t="shared" si="54"/>
        <v>9087</v>
      </c>
      <c r="BO120" s="387">
        <f t="shared" si="55"/>
        <v>0</v>
      </c>
      <c r="BP120" s="387">
        <f t="shared" si="56"/>
        <v>3232.9236599999999</v>
      </c>
      <c r="BQ120" s="387">
        <f t="shared" si="57"/>
        <v>756.08698500000003</v>
      </c>
      <c r="BR120" s="387">
        <f t="shared" si="58"/>
        <v>6225.9852420000007</v>
      </c>
      <c r="BS120" s="387">
        <f t="shared" si="59"/>
        <v>375.95773530000002</v>
      </c>
      <c r="BT120" s="387">
        <f t="shared" si="60"/>
        <v>0</v>
      </c>
      <c r="BU120" s="387">
        <f t="shared" si="61"/>
        <v>159.56042579999999</v>
      </c>
      <c r="BV120" s="387">
        <f t="shared" si="62"/>
        <v>724.80062699999996</v>
      </c>
      <c r="BW120" s="387">
        <f t="shared" si="63"/>
        <v>0</v>
      </c>
      <c r="BX120" s="387">
        <f t="shared" si="78"/>
        <v>11475.314675100002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-255.505257</v>
      </c>
      <c r="CG120" s="387">
        <f t="shared" si="68"/>
        <v>0</v>
      </c>
      <c r="CH120" s="387">
        <f t="shared" si="69"/>
        <v>0</v>
      </c>
      <c r="CI120" s="387">
        <f t="shared" si="70"/>
        <v>0</v>
      </c>
      <c r="CJ120" s="387">
        <f t="shared" si="83"/>
        <v>-255.505257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0001-00</v>
      </c>
    </row>
    <row r="121" spans="1:92" ht="15.75" thickBot="1" x14ac:dyDescent="0.3">
      <c r="A121" s="376" t="s">
        <v>161</v>
      </c>
      <c r="B121" s="376" t="s">
        <v>162</v>
      </c>
      <c r="C121" s="376" t="s">
        <v>633</v>
      </c>
      <c r="D121" s="376" t="s">
        <v>634</v>
      </c>
      <c r="E121" s="376" t="s">
        <v>165</v>
      </c>
      <c r="F121" s="377" t="s">
        <v>166</v>
      </c>
      <c r="G121" s="376" t="s">
        <v>583</v>
      </c>
      <c r="H121" s="378"/>
      <c r="I121" s="378"/>
      <c r="J121" s="376" t="s">
        <v>242</v>
      </c>
      <c r="K121" s="376" t="s">
        <v>635</v>
      </c>
      <c r="L121" s="376" t="s">
        <v>526</v>
      </c>
      <c r="M121" s="376" t="s">
        <v>171</v>
      </c>
      <c r="N121" s="376" t="s">
        <v>172</v>
      </c>
      <c r="O121" s="379">
        <v>1</v>
      </c>
      <c r="P121" s="385">
        <v>0.78</v>
      </c>
      <c r="Q121" s="385">
        <v>0.78</v>
      </c>
      <c r="R121" s="380">
        <v>80</v>
      </c>
      <c r="S121" s="385">
        <v>0.78</v>
      </c>
      <c r="T121" s="380">
        <v>25323.77</v>
      </c>
      <c r="U121" s="380">
        <v>0</v>
      </c>
      <c r="V121" s="380">
        <v>15210.35</v>
      </c>
      <c r="W121" s="380">
        <v>28408.22</v>
      </c>
      <c r="X121" s="380">
        <v>15477.96</v>
      </c>
      <c r="Y121" s="380">
        <v>28408.22</v>
      </c>
      <c r="Z121" s="380">
        <v>15338.77</v>
      </c>
      <c r="AA121" s="376" t="s">
        <v>636</v>
      </c>
      <c r="AB121" s="376" t="s">
        <v>637</v>
      </c>
      <c r="AC121" s="376" t="s">
        <v>638</v>
      </c>
      <c r="AD121" s="376" t="s">
        <v>236</v>
      </c>
      <c r="AE121" s="376" t="s">
        <v>635</v>
      </c>
      <c r="AF121" s="376" t="s">
        <v>529</v>
      </c>
      <c r="AG121" s="376" t="s">
        <v>178</v>
      </c>
      <c r="AH121" s="381">
        <v>17.510000000000002</v>
      </c>
      <c r="AI121" s="379">
        <v>6672</v>
      </c>
      <c r="AJ121" s="376" t="s">
        <v>179</v>
      </c>
      <c r="AK121" s="376" t="s">
        <v>180</v>
      </c>
      <c r="AL121" s="376" t="s">
        <v>181</v>
      </c>
      <c r="AM121" s="376" t="s">
        <v>182</v>
      </c>
      <c r="AN121" s="376" t="s">
        <v>68</v>
      </c>
      <c r="AO121" s="379">
        <v>80</v>
      </c>
      <c r="AP121" s="385">
        <v>1</v>
      </c>
      <c r="AQ121" s="385">
        <v>0.78</v>
      </c>
      <c r="AR121" s="383" t="s">
        <v>183</v>
      </c>
      <c r="AS121" s="387">
        <f t="shared" si="71"/>
        <v>0.78</v>
      </c>
      <c r="AT121">
        <f t="shared" si="72"/>
        <v>1</v>
      </c>
      <c r="AU121" s="387">
        <f>IF(AT121=0,"",IF(AND(AT121=1,M121="F",SUMIF(C2:C206,C121,AS2:AS206)&lt;=1),SUMIF(C2:C206,C121,AS2:AS206),IF(AND(AT121=1,M121="F",SUMIF(C2:C206,C121,AS2:AS206)&gt;1),1,"")))</f>
        <v>1</v>
      </c>
      <c r="AV121" s="387" t="str">
        <f>IF(AT121=0,"",IF(AND(AT121=3,M121="F",SUMIF(C2:C206,C121,AS2:AS206)&lt;=1),SUMIF(C2:C206,C121,AS2:AS206),IF(AND(AT121=3,M121="F",SUMIF(C2:C206,C121,AS2:AS206)&gt;1),1,"")))</f>
        <v/>
      </c>
      <c r="AW121" s="387">
        <f>SUMIF(C2:C206,C121,O2:O206)</f>
        <v>2</v>
      </c>
      <c r="AX121" s="387">
        <f>IF(AND(M121="F",AS121&lt;&gt;0),SUMIF(C2:C206,C121,W2:W206),0)</f>
        <v>36420.79</v>
      </c>
      <c r="AY121" s="387">
        <f t="shared" si="73"/>
        <v>28408.22</v>
      </c>
      <c r="AZ121" s="387" t="str">
        <f t="shared" si="74"/>
        <v/>
      </c>
      <c r="BA121" s="387">
        <f t="shared" si="75"/>
        <v>0</v>
      </c>
      <c r="BB121" s="387">
        <f t="shared" si="44"/>
        <v>9087</v>
      </c>
      <c r="BC121" s="387">
        <f t="shared" si="45"/>
        <v>0</v>
      </c>
      <c r="BD121" s="387">
        <f t="shared" si="46"/>
        <v>1761.3096400000002</v>
      </c>
      <c r="BE121" s="387">
        <f t="shared" si="47"/>
        <v>411.91919000000001</v>
      </c>
      <c r="BF121" s="387">
        <f t="shared" si="48"/>
        <v>3391.9414680000004</v>
      </c>
      <c r="BG121" s="387">
        <f t="shared" si="49"/>
        <v>204.82326620000001</v>
      </c>
      <c r="BH121" s="387">
        <f t="shared" si="50"/>
        <v>139.200278</v>
      </c>
      <c r="BI121" s="387">
        <f t="shared" si="51"/>
        <v>86.929153200000002</v>
      </c>
      <c r="BJ121" s="387">
        <f t="shared" si="52"/>
        <v>394.874258</v>
      </c>
      <c r="BK121" s="387">
        <f t="shared" si="53"/>
        <v>0</v>
      </c>
      <c r="BL121" s="387">
        <f t="shared" si="76"/>
        <v>6390.9972534000008</v>
      </c>
      <c r="BM121" s="387">
        <f t="shared" si="77"/>
        <v>0</v>
      </c>
      <c r="BN121" s="387">
        <f t="shared" si="54"/>
        <v>9087</v>
      </c>
      <c r="BO121" s="387">
        <f t="shared" si="55"/>
        <v>0</v>
      </c>
      <c r="BP121" s="387">
        <f t="shared" si="56"/>
        <v>1761.3096400000002</v>
      </c>
      <c r="BQ121" s="387">
        <f t="shared" si="57"/>
        <v>411.91919000000001</v>
      </c>
      <c r="BR121" s="387">
        <f t="shared" si="58"/>
        <v>3391.9414680000004</v>
      </c>
      <c r="BS121" s="387">
        <f t="shared" si="59"/>
        <v>204.82326620000001</v>
      </c>
      <c r="BT121" s="387">
        <f t="shared" si="60"/>
        <v>0</v>
      </c>
      <c r="BU121" s="387">
        <f t="shared" si="61"/>
        <v>86.929153200000002</v>
      </c>
      <c r="BV121" s="387">
        <f t="shared" si="62"/>
        <v>394.874258</v>
      </c>
      <c r="BW121" s="387">
        <f t="shared" si="63"/>
        <v>0</v>
      </c>
      <c r="BX121" s="387">
        <f t="shared" si="78"/>
        <v>6251.7969754000005</v>
      </c>
      <c r="BY121" s="387">
        <f t="shared" si="79"/>
        <v>0</v>
      </c>
      <c r="BZ121" s="387">
        <f t="shared" si="80"/>
        <v>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0</v>
      </c>
      <c r="CE121" s="387">
        <f t="shared" si="66"/>
        <v>0</v>
      </c>
      <c r="CF121" s="387">
        <f t="shared" si="67"/>
        <v>-139.200278</v>
      </c>
      <c r="CG121" s="387">
        <f t="shared" si="68"/>
        <v>0</v>
      </c>
      <c r="CH121" s="387">
        <f t="shared" si="69"/>
        <v>0</v>
      </c>
      <c r="CI121" s="387">
        <f t="shared" si="70"/>
        <v>0</v>
      </c>
      <c r="CJ121" s="387">
        <f t="shared" si="83"/>
        <v>-139.200278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0001-00</v>
      </c>
    </row>
    <row r="122" spans="1:92" ht="15.75" thickBot="1" x14ac:dyDescent="0.3">
      <c r="A122" s="376" t="s">
        <v>161</v>
      </c>
      <c r="B122" s="376" t="s">
        <v>162</v>
      </c>
      <c r="C122" s="376" t="s">
        <v>639</v>
      </c>
      <c r="D122" s="376" t="s">
        <v>585</v>
      </c>
      <c r="E122" s="376" t="s">
        <v>165</v>
      </c>
      <c r="F122" s="377" t="s">
        <v>166</v>
      </c>
      <c r="G122" s="376" t="s">
        <v>583</v>
      </c>
      <c r="H122" s="378"/>
      <c r="I122" s="378"/>
      <c r="J122" s="376" t="s">
        <v>242</v>
      </c>
      <c r="K122" s="376" t="s">
        <v>586</v>
      </c>
      <c r="L122" s="376" t="s">
        <v>171</v>
      </c>
      <c r="M122" s="376" t="s">
        <v>207</v>
      </c>
      <c r="N122" s="376" t="s">
        <v>172</v>
      </c>
      <c r="O122" s="379">
        <v>0</v>
      </c>
      <c r="P122" s="385">
        <v>0.78</v>
      </c>
      <c r="Q122" s="385">
        <v>0.78</v>
      </c>
      <c r="R122" s="380">
        <v>80</v>
      </c>
      <c r="S122" s="385">
        <v>0.78</v>
      </c>
      <c r="T122" s="380">
        <v>18821.28</v>
      </c>
      <c r="U122" s="380">
        <v>0</v>
      </c>
      <c r="V122" s="380">
        <v>12549.7</v>
      </c>
      <c r="W122" s="380">
        <v>19176.759999999998</v>
      </c>
      <c r="X122" s="380">
        <v>8399.42</v>
      </c>
      <c r="Y122" s="380">
        <v>19176.759999999998</v>
      </c>
      <c r="Z122" s="380">
        <v>8303.5300000000007</v>
      </c>
      <c r="AA122" s="378"/>
      <c r="AB122" s="376" t="s">
        <v>45</v>
      </c>
      <c r="AC122" s="376" t="s">
        <v>45</v>
      </c>
      <c r="AD122" s="378"/>
      <c r="AE122" s="378"/>
      <c r="AF122" s="378"/>
      <c r="AG122" s="378"/>
      <c r="AH122" s="379">
        <v>0</v>
      </c>
      <c r="AI122" s="379">
        <v>0</v>
      </c>
      <c r="AJ122" s="378"/>
      <c r="AK122" s="378"/>
      <c r="AL122" s="376" t="s">
        <v>181</v>
      </c>
      <c r="AM122" s="378"/>
      <c r="AN122" s="378"/>
      <c r="AO122" s="379">
        <v>0</v>
      </c>
      <c r="AP122" s="385">
        <v>0</v>
      </c>
      <c r="AQ122" s="385">
        <v>0</v>
      </c>
      <c r="AR122" s="384"/>
      <c r="AS122" s="387">
        <f t="shared" si="71"/>
        <v>0</v>
      </c>
      <c r="AT122">
        <f t="shared" si="72"/>
        <v>0</v>
      </c>
      <c r="AU122" s="387" t="str">
        <f>IF(AT122=0,"",IF(AND(AT122=1,M122="F",SUMIF(C2:C206,C122,AS2:AS206)&lt;=1),SUMIF(C2:C206,C122,AS2:AS206),IF(AND(AT122=1,M122="F",SUMIF(C2:C206,C122,AS2:AS206)&gt;1),1,"")))</f>
        <v/>
      </c>
      <c r="AV122" s="387" t="str">
        <f>IF(AT122=0,"",IF(AND(AT122=3,M122="F",SUMIF(C2:C206,C122,AS2:AS206)&lt;=1),SUMIF(C2:C206,C122,AS2:AS206),IF(AND(AT122=3,M122="F",SUMIF(C2:C206,C122,AS2:AS206)&gt;1),1,"")))</f>
        <v/>
      </c>
      <c r="AW122" s="387">
        <f>SUMIF(C2:C206,C122,O2:O206)</f>
        <v>0</v>
      </c>
      <c r="AX122" s="387">
        <f>IF(AND(M122="F",AS122&lt;&gt;0),SUMIF(C2:C206,C122,W2:W206),0)</f>
        <v>0</v>
      </c>
      <c r="AY122" s="387" t="str">
        <f t="shared" si="73"/>
        <v/>
      </c>
      <c r="AZ122" s="387" t="str">
        <f t="shared" si="74"/>
        <v/>
      </c>
      <c r="BA122" s="387">
        <f t="shared" si="75"/>
        <v>0</v>
      </c>
      <c r="BB122" s="387">
        <f t="shared" si="44"/>
        <v>0</v>
      </c>
      <c r="BC122" s="387">
        <f t="shared" si="45"/>
        <v>0</v>
      </c>
      <c r="BD122" s="387">
        <f t="shared" si="46"/>
        <v>0</v>
      </c>
      <c r="BE122" s="387">
        <f t="shared" si="47"/>
        <v>0</v>
      </c>
      <c r="BF122" s="387">
        <f t="shared" si="48"/>
        <v>0</v>
      </c>
      <c r="BG122" s="387">
        <f t="shared" si="49"/>
        <v>0</v>
      </c>
      <c r="BH122" s="387">
        <f t="shared" si="50"/>
        <v>0</v>
      </c>
      <c r="BI122" s="387">
        <f t="shared" si="51"/>
        <v>0</v>
      </c>
      <c r="BJ122" s="387">
        <f t="shared" si="52"/>
        <v>0</v>
      </c>
      <c r="BK122" s="387">
        <f t="shared" si="53"/>
        <v>0</v>
      </c>
      <c r="BL122" s="387">
        <f t="shared" si="76"/>
        <v>0</v>
      </c>
      <c r="BM122" s="387">
        <f t="shared" si="77"/>
        <v>0</v>
      </c>
      <c r="BN122" s="387">
        <f t="shared" si="54"/>
        <v>0</v>
      </c>
      <c r="BO122" s="387">
        <f t="shared" si="55"/>
        <v>0</v>
      </c>
      <c r="BP122" s="387">
        <f t="shared" si="56"/>
        <v>0</v>
      </c>
      <c r="BQ122" s="387">
        <f t="shared" si="57"/>
        <v>0</v>
      </c>
      <c r="BR122" s="387">
        <f t="shared" si="58"/>
        <v>0</v>
      </c>
      <c r="BS122" s="387">
        <f t="shared" si="59"/>
        <v>0</v>
      </c>
      <c r="BT122" s="387">
        <f t="shared" si="60"/>
        <v>0</v>
      </c>
      <c r="BU122" s="387">
        <f t="shared" si="61"/>
        <v>0</v>
      </c>
      <c r="BV122" s="387">
        <f t="shared" si="62"/>
        <v>0</v>
      </c>
      <c r="BW122" s="387">
        <f t="shared" si="63"/>
        <v>0</v>
      </c>
      <c r="BX122" s="387">
        <f t="shared" si="78"/>
        <v>0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0</v>
      </c>
      <c r="CG122" s="387">
        <f t="shared" si="68"/>
        <v>0</v>
      </c>
      <c r="CH122" s="387">
        <f t="shared" si="69"/>
        <v>0</v>
      </c>
      <c r="CI122" s="387">
        <f t="shared" si="70"/>
        <v>0</v>
      </c>
      <c r="CJ122" s="387">
        <f t="shared" si="83"/>
        <v>0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0001-00</v>
      </c>
    </row>
    <row r="123" spans="1:92" ht="15.75" thickBot="1" x14ac:dyDescent="0.3">
      <c r="A123" s="376" t="s">
        <v>161</v>
      </c>
      <c r="B123" s="376" t="s">
        <v>162</v>
      </c>
      <c r="C123" s="376" t="s">
        <v>640</v>
      </c>
      <c r="D123" s="376" t="s">
        <v>205</v>
      </c>
      <c r="E123" s="376" t="s">
        <v>165</v>
      </c>
      <c r="F123" s="377" t="s">
        <v>166</v>
      </c>
      <c r="G123" s="376" t="s">
        <v>583</v>
      </c>
      <c r="H123" s="378"/>
      <c r="I123" s="378"/>
      <c r="J123" s="376" t="s">
        <v>186</v>
      </c>
      <c r="K123" s="376" t="s">
        <v>206</v>
      </c>
      <c r="L123" s="376" t="s">
        <v>166</v>
      </c>
      <c r="M123" s="376" t="s">
        <v>207</v>
      </c>
      <c r="N123" s="376" t="s">
        <v>208</v>
      </c>
      <c r="O123" s="379">
        <v>0</v>
      </c>
      <c r="P123" s="385">
        <v>1</v>
      </c>
      <c r="Q123" s="385">
        <v>0</v>
      </c>
      <c r="R123" s="380">
        <v>0</v>
      </c>
      <c r="S123" s="385">
        <v>0</v>
      </c>
      <c r="T123" s="380">
        <v>0</v>
      </c>
      <c r="U123" s="380">
        <v>0</v>
      </c>
      <c r="V123" s="380">
        <v>0</v>
      </c>
      <c r="W123" s="380">
        <v>0</v>
      </c>
      <c r="X123" s="380">
        <v>0</v>
      </c>
      <c r="Y123" s="380">
        <v>0</v>
      </c>
      <c r="Z123" s="380">
        <v>0</v>
      </c>
      <c r="AA123" s="378"/>
      <c r="AB123" s="376" t="s">
        <v>45</v>
      </c>
      <c r="AC123" s="376" t="s">
        <v>45</v>
      </c>
      <c r="AD123" s="378"/>
      <c r="AE123" s="378"/>
      <c r="AF123" s="378"/>
      <c r="AG123" s="378"/>
      <c r="AH123" s="379">
        <v>0</v>
      </c>
      <c r="AI123" s="379">
        <v>0</v>
      </c>
      <c r="AJ123" s="378"/>
      <c r="AK123" s="378"/>
      <c r="AL123" s="376" t="s">
        <v>181</v>
      </c>
      <c r="AM123" s="378"/>
      <c r="AN123" s="378"/>
      <c r="AO123" s="379">
        <v>0</v>
      </c>
      <c r="AP123" s="385">
        <v>0</v>
      </c>
      <c r="AQ123" s="385">
        <v>0</v>
      </c>
      <c r="AR123" s="384"/>
      <c r="AS123" s="387">
        <f t="shared" si="71"/>
        <v>0</v>
      </c>
      <c r="AT123">
        <f t="shared" si="72"/>
        <v>0</v>
      </c>
      <c r="AU123" s="387" t="str">
        <f>IF(AT123=0,"",IF(AND(AT123=1,M123="F",SUMIF(C2:C206,C123,AS2:AS206)&lt;=1),SUMIF(C2:C206,C123,AS2:AS206),IF(AND(AT123=1,M123="F",SUMIF(C2:C206,C123,AS2:AS206)&gt;1),1,"")))</f>
        <v/>
      </c>
      <c r="AV123" s="387" t="str">
        <f>IF(AT123=0,"",IF(AND(AT123=3,M123="F",SUMIF(C2:C206,C123,AS2:AS206)&lt;=1),SUMIF(C2:C206,C123,AS2:AS206),IF(AND(AT123=3,M123="F",SUMIF(C2:C206,C123,AS2:AS206)&gt;1),1,"")))</f>
        <v/>
      </c>
      <c r="AW123" s="387">
        <f>SUMIF(C2:C206,C123,O2:O206)</f>
        <v>0</v>
      </c>
      <c r="AX123" s="387">
        <f>IF(AND(M123="F",AS123&lt;&gt;0),SUMIF(C2:C206,C123,W2:W206),0)</f>
        <v>0</v>
      </c>
      <c r="AY123" s="387" t="str">
        <f t="shared" si="73"/>
        <v/>
      </c>
      <c r="AZ123" s="387" t="str">
        <f t="shared" si="74"/>
        <v/>
      </c>
      <c r="BA123" s="387">
        <f t="shared" si="75"/>
        <v>0</v>
      </c>
      <c r="BB123" s="387">
        <f t="shared" si="44"/>
        <v>0</v>
      </c>
      <c r="BC123" s="387">
        <f t="shared" si="45"/>
        <v>0</v>
      </c>
      <c r="BD123" s="387">
        <f t="shared" si="46"/>
        <v>0</v>
      </c>
      <c r="BE123" s="387">
        <f t="shared" si="47"/>
        <v>0</v>
      </c>
      <c r="BF123" s="387">
        <f t="shared" si="48"/>
        <v>0</v>
      </c>
      <c r="BG123" s="387">
        <f t="shared" si="49"/>
        <v>0</v>
      </c>
      <c r="BH123" s="387">
        <f t="shared" si="50"/>
        <v>0</v>
      </c>
      <c r="BI123" s="387">
        <f t="shared" si="51"/>
        <v>0</v>
      </c>
      <c r="BJ123" s="387">
        <f t="shared" si="52"/>
        <v>0</v>
      </c>
      <c r="BK123" s="387">
        <f t="shared" si="53"/>
        <v>0</v>
      </c>
      <c r="BL123" s="387">
        <f t="shared" si="76"/>
        <v>0</v>
      </c>
      <c r="BM123" s="387">
        <f t="shared" si="77"/>
        <v>0</v>
      </c>
      <c r="BN123" s="387">
        <f t="shared" si="54"/>
        <v>0</v>
      </c>
      <c r="BO123" s="387">
        <f t="shared" si="55"/>
        <v>0</v>
      </c>
      <c r="BP123" s="387">
        <f t="shared" si="56"/>
        <v>0</v>
      </c>
      <c r="BQ123" s="387">
        <f t="shared" si="57"/>
        <v>0</v>
      </c>
      <c r="BR123" s="387">
        <f t="shared" si="58"/>
        <v>0</v>
      </c>
      <c r="BS123" s="387">
        <f t="shared" si="59"/>
        <v>0</v>
      </c>
      <c r="BT123" s="387">
        <f t="shared" si="60"/>
        <v>0</v>
      </c>
      <c r="BU123" s="387">
        <f t="shared" si="61"/>
        <v>0</v>
      </c>
      <c r="BV123" s="387">
        <f t="shared" si="62"/>
        <v>0</v>
      </c>
      <c r="BW123" s="387">
        <f t="shared" si="63"/>
        <v>0</v>
      </c>
      <c r="BX123" s="387">
        <f t="shared" si="78"/>
        <v>0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0</v>
      </c>
      <c r="CG123" s="387">
        <f t="shared" si="68"/>
        <v>0</v>
      </c>
      <c r="CH123" s="387">
        <f t="shared" si="69"/>
        <v>0</v>
      </c>
      <c r="CI123" s="387">
        <f t="shared" si="70"/>
        <v>0</v>
      </c>
      <c r="CJ123" s="387">
        <f t="shared" si="83"/>
        <v>0</v>
      </c>
      <c r="CK123" s="387" t="str">
        <f t="shared" si="84"/>
        <v/>
      </c>
      <c r="CL123" s="387">
        <f t="shared" si="85"/>
        <v>0</v>
      </c>
      <c r="CM123" s="387">
        <f t="shared" si="86"/>
        <v>0</v>
      </c>
      <c r="CN123" s="387" t="str">
        <f t="shared" si="87"/>
        <v>0001-00</v>
      </c>
    </row>
    <row r="124" spans="1:92" ht="15.75" thickBot="1" x14ac:dyDescent="0.3">
      <c r="A124" s="376" t="s">
        <v>161</v>
      </c>
      <c r="B124" s="376" t="s">
        <v>162</v>
      </c>
      <c r="C124" s="376" t="s">
        <v>641</v>
      </c>
      <c r="D124" s="376" t="s">
        <v>205</v>
      </c>
      <c r="E124" s="376" t="s">
        <v>165</v>
      </c>
      <c r="F124" s="377" t="s">
        <v>166</v>
      </c>
      <c r="G124" s="376" t="s">
        <v>583</v>
      </c>
      <c r="H124" s="378"/>
      <c r="I124" s="378"/>
      <c r="J124" s="376" t="s">
        <v>186</v>
      </c>
      <c r="K124" s="376" t="s">
        <v>206</v>
      </c>
      <c r="L124" s="376" t="s">
        <v>166</v>
      </c>
      <c r="M124" s="376" t="s">
        <v>207</v>
      </c>
      <c r="N124" s="376" t="s">
        <v>208</v>
      </c>
      <c r="O124" s="379">
        <v>0</v>
      </c>
      <c r="P124" s="385">
        <v>1</v>
      </c>
      <c r="Q124" s="385">
        <v>0</v>
      </c>
      <c r="R124" s="380">
        <v>0</v>
      </c>
      <c r="S124" s="385">
        <v>0</v>
      </c>
      <c r="T124" s="380">
        <v>0</v>
      </c>
      <c r="U124" s="380">
        <v>0</v>
      </c>
      <c r="V124" s="380">
        <v>0</v>
      </c>
      <c r="W124" s="380">
        <v>0</v>
      </c>
      <c r="X124" s="380">
        <v>0</v>
      </c>
      <c r="Y124" s="380">
        <v>0</v>
      </c>
      <c r="Z124" s="380">
        <v>0</v>
      </c>
      <c r="AA124" s="378"/>
      <c r="AB124" s="376" t="s">
        <v>45</v>
      </c>
      <c r="AC124" s="376" t="s">
        <v>45</v>
      </c>
      <c r="AD124" s="378"/>
      <c r="AE124" s="378"/>
      <c r="AF124" s="378"/>
      <c r="AG124" s="378"/>
      <c r="AH124" s="379">
        <v>0</v>
      </c>
      <c r="AI124" s="379">
        <v>0</v>
      </c>
      <c r="AJ124" s="378"/>
      <c r="AK124" s="378"/>
      <c r="AL124" s="376" t="s">
        <v>181</v>
      </c>
      <c r="AM124" s="378"/>
      <c r="AN124" s="378"/>
      <c r="AO124" s="379">
        <v>0</v>
      </c>
      <c r="AP124" s="385">
        <v>0</v>
      </c>
      <c r="AQ124" s="385">
        <v>0</v>
      </c>
      <c r="AR124" s="384"/>
      <c r="AS124" s="387">
        <f t="shared" si="71"/>
        <v>0</v>
      </c>
      <c r="AT124">
        <f t="shared" si="72"/>
        <v>0</v>
      </c>
      <c r="AU124" s="387" t="str">
        <f>IF(AT124=0,"",IF(AND(AT124=1,M124="F",SUMIF(C2:C206,C124,AS2:AS206)&lt;=1),SUMIF(C2:C206,C124,AS2:AS206),IF(AND(AT124=1,M124="F",SUMIF(C2:C206,C124,AS2:AS206)&gt;1),1,"")))</f>
        <v/>
      </c>
      <c r="AV124" s="387" t="str">
        <f>IF(AT124=0,"",IF(AND(AT124=3,M124="F",SUMIF(C2:C206,C124,AS2:AS206)&lt;=1),SUMIF(C2:C206,C124,AS2:AS206),IF(AND(AT124=3,M124="F",SUMIF(C2:C206,C124,AS2:AS206)&gt;1),1,"")))</f>
        <v/>
      </c>
      <c r="AW124" s="387">
        <f>SUMIF(C2:C206,C124,O2:O206)</f>
        <v>0</v>
      </c>
      <c r="AX124" s="387">
        <f>IF(AND(M124="F",AS124&lt;&gt;0),SUMIF(C2:C206,C124,W2:W206),0)</f>
        <v>0</v>
      </c>
      <c r="AY124" s="387" t="str">
        <f t="shared" si="73"/>
        <v/>
      </c>
      <c r="AZ124" s="387" t="str">
        <f t="shared" si="74"/>
        <v/>
      </c>
      <c r="BA124" s="387">
        <f t="shared" si="75"/>
        <v>0</v>
      </c>
      <c r="BB124" s="387">
        <f t="shared" si="44"/>
        <v>0</v>
      </c>
      <c r="BC124" s="387">
        <f t="shared" si="45"/>
        <v>0</v>
      </c>
      <c r="BD124" s="387">
        <f t="shared" si="46"/>
        <v>0</v>
      </c>
      <c r="BE124" s="387">
        <f t="shared" si="47"/>
        <v>0</v>
      </c>
      <c r="BF124" s="387">
        <f t="shared" si="48"/>
        <v>0</v>
      </c>
      <c r="BG124" s="387">
        <f t="shared" si="49"/>
        <v>0</v>
      </c>
      <c r="BH124" s="387">
        <f t="shared" si="50"/>
        <v>0</v>
      </c>
      <c r="BI124" s="387">
        <f t="shared" si="51"/>
        <v>0</v>
      </c>
      <c r="BJ124" s="387">
        <f t="shared" si="52"/>
        <v>0</v>
      </c>
      <c r="BK124" s="387">
        <f t="shared" si="53"/>
        <v>0</v>
      </c>
      <c r="BL124" s="387">
        <f t="shared" si="76"/>
        <v>0</v>
      </c>
      <c r="BM124" s="387">
        <f t="shared" si="77"/>
        <v>0</v>
      </c>
      <c r="BN124" s="387">
        <f t="shared" si="54"/>
        <v>0</v>
      </c>
      <c r="BO124" s="387">
        <f t="shared" si="55"/>
        <v>0</v>
      </c>
      <c r="BP124" s="387">
        <f t="shared" si="56"/>
        <v>0</v>
      </c>
      <c r="BQ124" s="387">
        <f t="shared" si="57"/>
        <v>0</v>
      </c>
      <c r="BR124" s="387">
        <f t="shared" si="58"/>
        <v>0</v>
      </c>
      <c r="BS124" s="387">
        <f t="shared" si="59"/>
        <v>0</v>
      </c>
      <c r="BT124" s="387">
        <f t="shared" si="60"/>
        <v>0</v>
      </c>
      <c r="BU124" s="387">
        <f t="shared" si="61"/>
        <v>0</v>
      </c>
      <c r="BV124" s="387">
        <f t="shared" si="62"/>
        <v>0</v>
      </c>
      <c r="BW124" s="387">
        <f t="shared" si="63"/>
        <v>0</v>
      </c>
      <c r="BX124" s="387">
        <f t="shared" si="78"/>
        <v>0</v>
      </c>
      <c r="BY124" s="387">
        <f t="shared" si="79"/>
        <v>0</v>
      </c>
      <c r="BZ124" s="387">
        <f t="shared" si="80"/>
        <v>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0</v>
      </c>
      <c r="CE124" s="387">
        <f t="shared" si="66"/>
        <v>0</v>
      </c>
      <c r="CF124" s="387">
        <f t="shared" si="67"/>
        <v>0</v>
      </c>
      <c r="CG124" s="387">
        <f t="shared" si="68"/>
        <v>0</v>
      </c>
      <c r="CH124" s="387">
        <f t="shared" si="69"/>
        <v>0</v>
      </c>
      <c r="CI124" s="387">
        <f t="shared" si="70"/>
        <v>0</v>
      </c>
      <c r="CJ124" s="387">
        <f t="shared" si="83"/>
        <v>0</v>
      </c>
      <c r="CK124" s="387" t="str">
        <f t="shared" si="84"/>
        <v/>
      </c>
      <c r="CL124" s="387">
        <f t="shared" si="85"/>
        <v>0</v>
      </c>
      <c r="CM124" s="387">
        <f t="shared" si="86"/>
        <v>0</v>
      </c>
      <c r="CN124" s="387" t="str">
        <f t="shared" si="87"/>
        <v>0001-00</v>
      </c>
    </row>
    <row r="125" spans="1:92" ht="15.75" thickBot="1" x14ac:dyDescent="0.3">
      <c r="A125" s="376" t="s">
        <v>161</v>
      </c>
      <c r="B125" s="376" t="s">
        <v>162</v>
      </c>
      <c r="C125" s="376" t="s">
        <v>642</v>
      </c>
      <c r="D125" s="376" t="s">
        <v>643</v>
      </c>
      <c r="E125" s="376" t="s">
        <v>165</v>
      </c>
      <c r="F125" s="377" t="s">
        <v>166</v>
      </c>
      <c r="G125" s="376" t="s">
        <v>583</v>
      </c>
      <c r="H125" s="378"/>
      <c r="I125" s="378"/>
      <c r="J125" s="376" t="s">
        <v>242</v>
      </c>
      <c r="K125" s="376" t="s">
        <v>644</v>
      </c>
      <c r="L125" s="376" t="s">
        <v>526</v>
      </c>
      <c r="M125" s="376" t="s">
        <v>171</v>
      </c>
      <c r="N125" s="376" t="s">
        <v>172</v>
      </c>
      <c r="O125" s="379">
        <v>1</v>
      </c>
      <c r="P125" s="385">
        <v>0.78</v>
      </c>
      <c r="Q125" s="385">
        <v>0.78</v>
      </c>
      <c r="R125" s="380">
        <v>80</v>
      </c>
      <c r="S125" s="385">
        <v>0.78</v>
      </c>
      <c r="T125" s="380">
        <v>26594.58</v>
      </c>
      <c r="U125" s="380">
        <v>0</v>
      </c>
      <c r="V125" s="380">
        <v>15335.95</v>
      </c>
      <c r="W125" s="380">
        <v>28992.28</v>
      </c>
      <c r="X125" s="380">
        <v>15609.36</v>
      </c>
      <c r="Y125" s="380">
        <v>28992.28</v>
      </c>
      <c r="Z125" s="380">
        <v>15467.3</v>
      </c>
      <c r="AA125" s="376" t="s">
        <v>645</v>
      </c>
      <c r="AB125" s="376" t="s">
        <v>646</v>
      </c>
      <c r="AC125" s="376" t="s">
        <v>647</v>
      </c>
      <c r="AD125" s="376" t="s">
        <v>500</v>
      </c>
      <c r="AE125" s="376" t="s">
        <v>644</v>
      </c>
      <c r="AF125" s="376" t="s">
        <v>529</v>
      </c>
      <c r="AG125" s="376" t="s">
        <v>178</v>
      </c>
      <c r="AH125" s="381">
        <v>17.87</v>
      </c>
      <c r="AI125" s="381">
        <v>31068.7</v>
      </c>
      <c r="AJ125" s="376" t="s">
        <v>179</v>
      </c>
      <c r="AK125" s="376" t="s">
        <v>180</v>
      </c>
      <c r="AL125" s="376" t="s">
        <v>181</v>
      </c>
      <c r="AM125" s="376" t="s">
        <v>182</v>
      </c>
      <c r="AN125" s="376" t="s">
        <v>68</v>
      </c>
      <c r="AO125" s="379">
        <v>80</v>
      </c>
      <c r="AP125" s="385">
        <v>1</v>
      </c>
      <c r="AQ125" s="385">
        <v>0.78</v>
      </c>
      <c r="AR125" s="383" t="s">
        <v>183</v>
      </c>
      <c r="AS125" s="387">
        <f t="shared" si="71"/>
        <v>0.78</v>
      </c>
      <c r="AT125">
        <f t="shared" si="72"/>
        <v>1</v>
      </c>
      <c r="AU125" s="387">
        <f>IF(AT125=0,"",IF(AND(AT125=1,M125="F",SUMIF(C2:C206,C125,AS2:AS206)&lt;=1),SUMIF(C2:C206,C125,AS2:AS206),IF(AND(AT125=1,M125="F",SUMIF(C2:C206,C125,AS2:AS206)&gt;1),1,"")))</f>
        <v>1</v>
      </c>
      <c r="AV125" s="387" t="str">
        <f>IF(AT125=0,"",IF(AND(AT125=3,M125="F",SUMIF(C2:C206,C125,AS2:AS206)&lt;=1),SUMIF(C2:C206,C125,AS2:AS206),IF(AND(AT125=3,M125="F",SUMIF(C2:C206,C125,AS2:AS206)&gt;1),1,"")))</f>
        <v/>
      </c>
      <c r="AW125" s="387">
        <f>SUMIF(C2:C206,C125,O2:O206)</f>
        <v>2</v>
      </c>
      <c r="AX125" s="387">
        <f>IF(AND(M125="F",AS125&lt;&gt;0),SUMIF(C2:C206,C125,W2:W206),0)</f>
        <v>37169.589999999997</v>
      </c>
      <c r="AY125" s="387">
        <f t="shared" si="73"/>
        <v>28992.28</v>
      </c>
      <c r="AZ125" s="387" t="str">
        <f t="shared" si="74"/>
        <v/>
      </c>
      <c r="BA125" s="387">
        <f t="shared" si="75"/>
        <v>0</v>
      </c>
      <c r="BB125" s="387">
        <f t="shared" si="44"/>
        <v>9087</v>
      </c>
      <c r="BC125" s="387">
        <f t="shared" si="45"/>
        <v>0</v>
      </c>
      <c r="BD125" s="387">
        <f t="shared" si="46"/>
        <v>1797.52136</v>
      </c>
      <c r="BE125" s="387">
        <f t="shared" si="47"/>
        <v>420.38806</v>
      </c>
      <c r="BF125" s="387">
        <f t="shared" si="48"/>
        <v>3461.6782320000002</v>
      </c>
      <c r="BG125" s="387">
        <f t="shared" si="49"/>
        <v>209.0343388</v>
      </c>
      <c r="BH125" s="387">
        <f t="shared" si="50"/>
        <v>142.062172</v>
      </c>
      <c r="BI125" s="387">
        <f t="shared" si="51"/>
        <v>88.716376799999992</v>
      </c>
      <c r="BJ125" s="387">
        <f t="shared" si="52"/>
        <v>402.99269199999998</v>
      </c>
      <c r="BK125" s="387">
        <f t="shared" si="53"/>
        <v>0</v>
      </c>
      <c r="BL125" s="387">
        <f t="shared" si="76"/>
        <v>6522.3932316</v>
      </c>
      <c r="BM125" s="387">
        <f t="shared" si="77"/>
        <v>0</v>
      </c>
      <c r="BN125" s="387">
        <f t="shared" si="54"/>
        <v>9087</v>
      </c>
      <c r="BO125" s="387">
        <f t="shared" si="55"/>
        <v>0</v>
      </c>
      <c r="BP125" s="387">
        <f t="shared" si="56"/>
        <v>1797.52136</v>
      </c>
      <c r="BQ125" s="387">
        <f t="shared" si="57"/>
        <v>420.38806</v>
      </c>
      <c r="BR125" s="387">
        <f t="shared" si="58"/>
        <v>3461.6782320000002</v>
      </c>
      <c r="BS125" s="387">
        <f t="shared" si="59"/>
        <v>209.0343388</v>
      </c>
      <c r="BT125" s="387">
        <f t="shared" si="60"/>
        <v>0</v>
      </c>
      <c r="BU125" s="387">
        <f t="shared" si="61"/>
        <v>88.716376799999992</v>
      </c>
      <c r="BV125" s="387">
        <f t="shared" si="62"/>
        <v>402.99269199999998</v>
      </c>
      <c r="BW125" s="387">
        <f t="shared" si="63"/>
        <v>0</v>
      </c>
      <c r="BX125" s="387">
        <f t="shared" si="78"/>
        <v>6380.3310596000001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-142.062172</v>
      </c>
      <c r="CG125" s="387">
        <f t="shared" si="68"/>
        <v>0</v>
      </c>
      <c r="CH125" s="387">
        <f t="shared" si="69"/>
        <v>0</v>
      </c>
      <c r="CI125" s="387">
        <f t="shared" si="70"/>
        <v>0</v>
      </c>
      <c r="CJ125" s="387">
        <f t="shared" si="83"/>
        <v>-142.062172</v>
      </c>
      <c r="CK125" s="387" t="str">
        <f t="shared" si="84"/>
        <v/>
      </c>
      <c r="CL125" s="387" t="str">
        <f t="shared" si="85"/>
        <v/>
      </c>
      <c r="CM125" s="387" t="str">
        <f t="shared" si="86"/>
        <v/>
      </c>
      <c r="CN125" s="387" t="str">
        <f t="shared" si="87"/>
        <v>0001-00</v>
      </c>
    </row>
    <row r="126" spans="1:92" ht="15.75" thickBot="1" x14ac:dyDescent="0.3">
      <c r="A126" s="376" t="s">
        <v>161</v>
      </c>
      <c r="B126" s="376" t="s">
        <v>162</v>
      </c>
      <c r="C126" s="376" t="s">
        <v>648</v>
      </c>
      <c r="D126" s="376" t="s">
        <v>585</v>
      </c>
      <c r="E126" s="376" t="s">
        <v>165</v>
      </c>
      <c r="F126" s="377" t="s">
        <v>166</v>
      </c>
      <c r="G126" s="376" t="s">
        <v>583</v>
      </c>
      <c r="H126" s="378"/>
      <c r="I126" s="378"/>
      <c r="J126" s="376" t="s">
        <v>242</v>
      </c>
      <c r="K126" s="376" t="s">
        <v>586</v>
      </c>
      <c r="L126" s="376" t="s">
        <v>171</v>
      </c>
      <c r="M126" s="376" t="s">
        <v>171</v>
      </c>
      <c r="N126" s="376" t="s">
        <v>172</v>
      </c>
      <c r="O126" s="379">
        <v>1</v>
      </c>
      <c r="P126" s="385">
        <v>0.78</v>
      </c>
      <c r="Q126" s="385">
        <v>0.78</v>
      </c>
      <c r="R126" s="380">
        <v>80</v>
      </c>
      <c r="S126" s="385">
        <v>0.78</v>
      </c>
      <c r="T126" s="380">
        <v>23682.1</v>
      </c>
      <c r="U126" s="380">
        <v>0</v>
      </c>
      <c r="V126" s="380">
        <v>14822.89</v>
      </c>
      <c r="W126" s="380">
        <v>25812.38</v>
      </c>
      <c r="X126" s="380">
        <v>14893.98</v>
      </c>
      <c r="Y126" s="380">
        <v>25812.38</v>
      </c>
      <c r="Z126" s="380">
        <v>14767.5</v>
      </c>
      <c r="AA126" s="376" t="s">
        <v>649</v>
      </c>
      <c r="AB126" s="376" t="s">
        <v>650</v>
      </c>
      <c r="AC126" s="376" t="s">
        <v>651</v>
      </c>
      <c r="AD126" s="376" t="s">
        <v>652</v>
      </c>
      <c r="AE126" s="376" t="s">
        <v>586</v>
      </c>
      <c r="AF126" s="376" t="s">
        <v>589</v>
      </c>
      <c r="AG126" s="376" t="s">
        <v>178</v>
      </c>
      <c r="AH126" s="381">
        <v>15.91</v>
      </c>
      <c r="AI126" s="379">
        <v>32621</v>
      </c>
      <c r="AJ126" s="376" t="s">
        <v>179</v>
      </c>
      <c r="AK126" s="376" t="s">
        <v>180</v>
      </c>
      <c r="AL126" s="376" t="s">
        <v>181</v>
      </c>
      <c r="AM126" s="376" t="s">
        <v>182</v>
      </c>
      <c r="AN126" s="376" t="s">
        <v>68</v>
      </c>
      <c r="AO126" s="379">
        <v>80</v>
      </c>
      <c r="AP126" s="385">
        <v>1</v>
      </c>
      <c r="AQ126" s="385">
        <v>0.78</v>
      </c>
      <c r="AR126" s="383" t="s">
        <v>183</v>
      </c>
      <c r="AS126" s="387">
        <f t="shared" si="71"/>
        <v>0.78</v>
      </c>
      <c r="AT126">
        <f t="shared" si="72"/>
        <v>1</v>
      </c>
      <c r="AU126" s="387">
        <f>IF(AT126=0,"",IF(AND(AT126=1,M126="F",SUMIF(C2:C206,C126,AS2:AS206)&lt;=1),SUMIF(C2:C206,C126,AS2:AS206),IF(AND(AT126=1,M126="F",SUMIF(C2:C206,C126,AS2:AS206)&gt;1),1,"")))</f>
        <v>1</v>
      </c>
      <c r="AV126" s="387" t="str">
        <f>IF(AT126=0,"",IF(AND(AT126=3,M126="F",SUMIF(C2:C206,C126,AS2:AS206)&lt;=1),SUMIF(C2:C206,C126,AS2:AS206),IF(AND(AT126=3,M126="F",SUMIF(C2:C206,C126,AS2:AS206)&gt;1),1,"")))</f>
        <v/>
      </c>
      <c r="AW126" s="387">
        <f>SUMIF(C2:C206,C126,O2:O206)</f>
        <v>2</v>
      </c>
      <c r="AX126" s="387">
        <f>IF(AND(M126="F",AS126&lt;&gt;0),SUMIF(C2:C206,C126,W2:W206),0)</f>
        <v>33092.79</v>
      </c>
      <c r="AY126" s="387">
        <f t="shared" si="73"/>
        <v>25812.38</v>
      </c>
      <c r="AZ126" s="387" t="str">
        <f t="shared" si="74"/>
        <v/>
      </c>
      <c r="BA126" s="387">
        <f t="shared" si="75"/>
        <v>0</v>
      </c>
      <c r="BB126" s="387">
        <f t="shared" si="44"/>
        <v>9087</v>
      </c>
      <c r="BC126" s="387">
        <f t="shared" si="45"/>
        <v>0</v>
      </c>
      <c r="BD126" s="387">
        <f t="shared" si="46"/>
        <v>1600.3675600000001</v>
      </c>
      <c r="BE126" s="387">
        <f t="shared" si="47"/>
        <v>374.27951000000002</v>
      </c>
      <c r="BF126" s="387">
        <f t="shared" si="48"/>
        <v>3081.9981720000001</v>
      </c>
      <c r="BG126" s="387">
        <f t="shared" si="49"/>
        <v>186.10725980000001</v>
      </c>
      <c r="BH126" s="387">
        <f t="shared" si="50"/>
        <v>126.480662</v>
      </c>
      <c r="BI126" s="387">
        <f t="shared" si="51"/>
        <v>78.985882799999999</v>
      </c>
      <c r="BJ126" s="387">
        <f t="shared" si="52"/>
        <v>358.79208199999999</v>
      </c>
      <c r="BK126" s="387">
        <f t="shared" si="53"/>
        <v>0</v>
      </c>
      <c r="BL126" s="387">
        <f t="shared" si="76"/>
        <v>5807.0111286000001</v>
      </c>
      <c r="BM126" s="387">
        <f t="shared" si="77"/>
        <v>0</v>
      </c>
      <c r="BN126" s="387">
        <f t="shared" si="54"/>
        <v>9087</v>
      </c>
      <c r="BO126" s="387">
        <f t="shared" si="55"/>
        <v>0</v>
      </c>
      <c r="BP126" s="387">
        <f t="shared" si="56"/>
        <v>1600.3675600000001</v>
      </c>
      <c r="BQ126" s="387">
        <f t="shared" si="57"/>
        <v>374.27951000000002</v>
      </c>
      <c r="BR126" s="387">
        <f t="shared" si="58"/>
        <v>3081.9981720000001</v>
      </c>
      <c r="BS126" s="387">
        <f t="shared" si="59"/>
        <v>186.10725980000001</v>
      </c>
      <c r="BT126" s="387">
        <f t="shared" si="60"/>
        <v>0</v>
      </c>
      <c r="BU126" s="387">
        <f t="shared" si="61"/>
        <v>78.985882799999999</v>
      </c>
      <c r="BV126" s="387">
        <f t="shared" si="62"/>
        <v>358.79208199999999</v>
      </c>
      <c r="BW126" s="387">
        <f t="shared" si="63"/>
        <v>0</v>
      </c>
      <c r="BX126" s="387">
        <f t="shared" si="78"/>
        <v>5680.5304666000002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-126.480662</v>
      </c>
      <c r="CG126" s="387">
        <f t="shared" si="68"/>
        <v>0</v>
      </c>
      <c r="CH126" s="387">
        <f t="shared" si="69"/>
        <v>0</v>
      </c>
      <c r="CI126" s="387">
        <f t="shared" si="70"/>
        <v>0</v>
      </c>
      <c r="CJ126" s="387">
        <f t="shared" si="83"/>
        <v>-126.480662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0001-00</v>
      </c>
    </row>
    <row r="127" spans="1:92" ht="15.75" thickBot="1" x14ac:dyDescent="0.3">
      <c r="A127" s="376" t="s">
        <v>161</v>
      </c>
      <c r="B127" s="376" t="s">
        <v>162</v>
      </c>
      <c r="C127" s="376" t="s">
        <v>653</v>
      </c>
      <c r="D127" s="376" t="s">
        <v>205</v>
      </c>
      <c r="E127" s="376" t="s">
        <v>251</v>
      </c>
      <c r="F127" s="382" t="s">
        <v>654</v>
      </c>
      <c r="G127" s="376" t="s">
        <v>583</v>
      </c>
      <c r="H127" s="378"/>
      <c r="I127" s="378"/>
      <c r="J127" s="376" t="s">
        <v>186</v>
      </c>
      <c r="K127" s="376" t="s">
        <v>206</v>
      </c>
      <c r="L127" s="376" t="s">
        <v>166</v>
      </c>
      <c r="M127" s="376" t="s">
        <v>207</v>
      </c>
      <c r="N127" s="376" t="s">
        <v>208</v>
      </c>
      <c r="O127" s="379">
        <v>0</v>
      </c>
      <c r="P127" s="385">
        <v>1</v>
      </c>
      <c r="Q127" s="385">
        <v>0</v>
      </c>
      <c r="R127" s="380">
        <v>0</v>
      </c>
      <c r="S127" s="385">
        <v>0</v>
      </c>
      <c r="T127" s="380">
        <v>0</v>
      </c>
      <c r="U127" s="380">
        <v>0</v>
      </c>
      <c r="V127" s="380">
        <v>0</v>
      </c>
      <c r="W127" s="380">
        <v>0</v>
      </c>
      <c r="X127" s="380">
        <v>0</v>
      </c>
      <c r="Y127" s="380">
        <v>0</v>
      </c>
      <c r="Z127" s="380">
        <v>0</v>
      </c>
      <c r="AA127" s="378"/>
      <c r="AB127" s="376" t="s">
        <v>45</v>
      </c>
      <c r="AC127" s="376" t="s">
        <v>45</v>
      </c>
      <c r="AD127" s="378"/>
      <c r="AE127" s="378"/>
      <c r="AF127" s="378"/>
      <c r="AG127" s="378"/>
      <c r="AH127" s="379">
        <v>0</v>
      </c>
      <c r="AI127" s="379">
        <v>0</v>
      </c>
      <c r="AJ127" s="378"/>
      <c r="AK127" s="378"/>
      <c r="AL127" s="376" t="s">
        <v>181</v>
      </c>
      <c r="AM127" s="378"/>
      <c r="AN127" s="378"/>
      <c r="AO127" s="379">
        <v>0</v>
      </c>
      <c r="AP127" s="385">
        <v>0</v>
      </c>
      <c r="AQ127" s="385">
        <v>0</v>
      </c>
      <c r="AR127" s="384"/>
      <c r="AS127" s="387">
        <f t="shared" si="71"/>
        <v>0</v>
      </c>
      <c r="AT127">
        <f t="shared" si="72"/>
        <v>0</v>
      </c>
      <c r="AU127" s="387" t="str">
        <f>IF(AT127=0,"",IF(AND(AT127=1,M127="F",SUMIF(C2:C206,C127,AS2:AS206)&lt;=1),SUMIF(C2:C206,C127,AS2:AS206),IF(AND(AT127=1,M127="F",SUMIF(C2:C206,C127,AS2:AS206)&gt;1),1,"")))</f>
        <v/>
      </c>
      <c r="AV127" s="387" t="str">
        <f>IF(AT127=0,"",IF(AND(AT127=3,M127="F",SUMIF(C2:C206,C127,AS2:AS206)&lt;=1),SUMIF(C2:C206,C127,AS2:AS206),IF(AND(AT127=3,M127="F",SUMIF(C2:C206,C127,AS2:AS206)&gt;1),1,"")))</f>
        <v/>
      </c>
      <c r="AW127" s="387">
        <f>SUMIF(C2:C206,C127,O2:O206)</f>
        <v>0</v>
      </c>
      <c r="AX127" s="387">
        <f>IF(AND(M127="F",AS127&lt;&gt;0),SUMIF(C2:C206,C127,W2:W206),0)</f>
        <v>0</v>
      </c>
      <c r="AY127" s="387" t="str">
        <f t="shared" si="73"/>
        <v/>
      </c>
      <c r="AZ127" s="387" t="str">
        <f t="shared" si="74"/>
        <v/>
      </c>
      <c r="BA127" s="387">
        <f t="shared" si="75"/>
        <v>0</v>
      </c>
      <c r="BB127" s="387">
        <f t="shared" si="44"/>
        <v>0</v>
      </c>
      <c r="BC127" s="387">
        <f t="shared" si="45"/>
        <v>0</v>
      </c>
      <c r="BD127" s="387">
        <f t="shared" si="46"/>
        <v>0</v>
      </c>
      <c r="BE127" s="387">
        <f t="shared" si="47"/>
        <v>0</v>
      </c>
      <c r="BF127" s="387">
        <f t="shared" si="48"/>
        <v>0</v>
      </c>
      <c r="BG127" s="387">
        <f t="shared" si="49"/>
        <v>0</v>
      </c>
      <c r="BH127" s="387">
        <f t="shared" si="50"/>
        <v>0</v>
      </c>
      <c r="BI127" s="387">
        <f t="shared" si="51"/>
        <v>0</v>
      </c>
      <c r="BJ127" s="387">
        <f t="shared" si="52"/>
        <v>0</v>
      </c>
      <c r="BK127" s="387">
        <f t="shared" si="53"/>
        <v>0</v>
      </c>
      <c r="BL127" s="387">
        <f t="shared" si="76"/>
        <v>0</v>
      </c>
      <c r="BM127" s="387">
        <f t="shared" si="77"/>
        <v>0</v>
      </c>
      <c r="BN127" s="387">
        <f t="shared" si="54"/>
        <v>0</v>
      </c>
      <c r="BO127" s="387">
        <f t="shared" si="55"/>
        <v>0</v>
      </c>
      <c r="BP127" s="387">
        <f t="shared" si="56"/>
        <v>0</v>
      </c>
      <c r="BQ127" s="387">
        <f t="shared" si="57"/>
        <v>0</v>
      </c>
      <c r="BR127" s="387">
        <f t="shared" si="58"/>
        <v>0</v>
      </c>
      <c r="BS127" s="387">
        <f t="shared" si="59"/>
        <v>0</v>
      </c>
      <c r="BT127" s="387">
        <f t="shared" si="60"/>
        <v>0</v>
      </c>
      <c r="BU127" s="387">
        <f t="shared" si="61"/>
        <v>0</v>
      </c>
      <c r="BV127" s="387">
        <f t="shared" si="62"/>
        <v>0</v>
      </c>
      <c r="BW127" s="387">
        <f t="shared" si="63"/>
        <v>0</v>
      </c>
      <c r="BX127" s="387">
        <f t="shared" si="78"/>
        <v>0</v>
      </c>
      <c r="BY127" s="387">
        <f t="shared" si="79"/>
        <v>0</v>
      </c>
      <c r="BZ127" s="387">
        <f t="shared" si="80"/>
        <v>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0</v>
      </c>
      <c r="CE127" s="387">
        <f t="shared" si="66"/>
        <v>0</v>
      </c>
      <c r="CF127" s="387">
        <f t="shared" si="67"/>
        <v>0</v>
      </c>
      <c r="CG127" s="387">
        <f t="shared" si="68"/>
        <v>0</v>
      </c>
      <c r="CH127" s="387">
        <f t="shared" si="69"/>
        <v>0</v>
      </c>
      <c r="CI127" s="387">
        <f t="shared" si="70"/>
        <v>0</v>
      </c>
      <c r="CJ127" s="387">
        <f t="shared" si="83"/>
        <v>0</v>
      </c>
      <c r="CK127" s="387" t="str">
        <f t="shared" si="84"/>
        <v/>
      </c>
      <c r="CL127" s="387">
        <f t="shared" si="85"/>
        <v>0</v>
      </c>
      <c r="CM127" s="387">
        <f t="shared" si="86"/>
        <v>0</v>
      </c>
      <c r="CN127" s="387" t="str">
        <f t="shared" si="87"/>
        <v>0450-27</v>
      </c>
    </row>
    <row r="128" spans="1:92" ht="15.75" thickBot="1" x14ac:dyDescent="0.3">
      <c r="A128" s="376" t="s">
        <v>161</v>
      </c>
      <c r="B128" s="376" t="s">
        <v>162</v>
      </c>
      <c r="C128" s="376" t="s">
        <v>655</v>
      </c>
      <c r="D128" s="376" t="s">
        <v>656</v>
      </c>
      <c r="E128" s="376" t="s">
        <v>251</v>
      </c>
      <c r="F128" s="382" t="s">
        <v>654</v>
      </c>
      <c r="G128" s="376" t="s">
        <v>583</v>
      </c>
      <c r="H128" s="378"/>
      <c r="I128" s="378"/>
      <c r="J128" s="376" t="s">
        <v>186</v>
      </c>
      <c r="K128" s="376" t="s">
        <v>657</v>
      </c>
      <c r="L128" s="376" t="s">
        <v>170</v>
      </c>
      <c r="M128" s="376" t="s">
        <v>171</v>
      </c>
      <c r="N128" s="376" t="s">
        <v>172</v>
      </c>
      <c r="O128" s="379">
        <v>1</v>
      </c>
      <c r="P128" s="385">
        <v>1</v>
      </c>
      <c r="Q128" s="385">
        <v>1</v>
      </c>
      <c r="R128" s="380">
        <v>80</v>
      </c>
      <c r="S128" s="385">
        <v>1</v>
      </c>
      <c r="T128" s="380">
        <v>56996.01</v>
      </c>
      <c r="U128" s="380">
        <v>0</v>
      </c>
      <c r="V128" s="380">
        <v>23475.279999999999</v>
      </c>
      <c r="W128" s="380">
        <v>59259.199999999997</v>
      </c>
      <c r="X128" s="380">
        <v>24981.51</v>
      </c>
      <c r="Y128" s="380">
        <v>59259.199999999997</v>
      </c>
      <c r="Z128" s="380">
        <v>24691.14</v>
      </c>
      <c r="AA128" s="376" t="s">
        <v>658</v>
      </c>
      <c r="AB128" s="376" t="s">
        <v>659</v>
      </c>
      <c r="AC128" s="376" t="s">
        <v>660</v>
      </c>
      <c r="AD128" s="376" t="s">
        <v>661</v>
      </c>
      <c r="AE128" s="376" t="s">
        <v>657</v>
      </c>
      <c r="AF128" s="376" t="s">
        <v>177</v>
      </c>
      <c r="AG128" s="376" t="s">
        <v>178</v>
      </c>
      <c r="AH128" s="381">
        <v>28.49</v>
      </c>
      <c r="AI128" s="379">
        <v>8347</v>
      </c>
      <c r="AJ128" s="376" t="s">
        <v>179</v>
      </c>
      <c r="AK128" s="376" t="s">
        <v>180</v>
      </c>
      <c r="AL128" s="376" t="s">
        <v>181</v>
      </c>
      <c r="AM128" s="376" t="s">
        <v>182</v>
      </c>
      <c r="AN128" s="376" t="s">
        <v>68</v>
      </c>
      <c r="AO128" s="379">
        <v>80</v>
      </c>
      <c r="AP128" s="385">
        <v>1</v>
      </c>
      <c r="AQ128" s="385">
        <v>1</v>
      </c>
      <c r="AR128" s="383" t="s">
        <v>183</v>
      </c>
      <c r="AS128" s="387">
        <f t="shared" si="71"/>
        <v>1</v>
      </c>
      <c r="AT128">
        <f t="shared" si="72"/>
        <v>1</v>
      </c>
      <c r="AU128" s="387">
        <f>IF(AT128=0,"",IF(AND(AT128=1,M128="F",SUMIF(C2:C206,C128,AS2:AS206)&lt;=1),SUMIF(C2:C206,C128,AS2:AS206),IF(AND(AT128=1,M128="F",SUMIF(C2:C206,C128,AS2:AS206)&gt;1),1,"")))</f>
        <v>1</v>
      </c>
      <c r="AV128" s="387" t="str">
        <f>IF(AT128=0,"",IF(AND(AT128=3,M128="F",SUMIF(C2:C206,C128,AS2:AS206)&lt;=1),SUMIF(C2:C206,C128,AS2:AS206),IF(AND(AT128=3,M128="F",SUMIF(C2:C206,C128,AS2:AS206)&gt;1),1,"")))</f>
        <v/>
      </c>
      <c r="AW128" s="387">
        <f>SUMIF(C2:C206,C128,O2:O206)</f>
        <v>1</v>
      </c>
      <c r="AX128" s="387">
        <f>IF(AND(M128="F",AS128&lt;&gt;0),SUMIF(C2:C206,C128,W2:W206),0)</f>
        <v>59259.199999999997</v>
      </c>
      <c r="AY128" s="387">
        <f t="shared" si="73"/>
        <v>59259.199999999997</v>
      </c>
      <c r="AZ128" s="387" t="str">
        <f t="shared" si="74"/>
        <v/>
      </c>
      <c r="BA128" s="387">
        <f t="shared" si="75"/>
        <v>0</v>
      </c>
      <c r="BB128" s="387">
        <f t="shared" si="44"/>
        <v>11650</v>
      </c>
      <c r="BC128" s="387">
        <f t="shared" si="45"/>
        <v>0</v>
      </c>
      <c r="BD128" s="387">
        <f t="shared" si="46"/>
        <v>3674.0703999999996</v>
      </c>
      <c r="BE128" s="387">
        <f t="shared" si="47"/>
        <v>859.25840000000005</v>
      </c>
      <c r="BF128" s="387">
        <f t="shared" si="48"/>
        <v>7075.5484800000004</v>
      </c>
      <c r="BG128" s="387">
        <f t="shared" si="49"/>
        <v>427.25883199999998</v>
      </c>
      <c r="BH128" s="387">
        <f t="shared" si="50"/>
        <v>290.37007999999997</v>
      </c>
      <c r="BI128" s="387">
        <f t="shared" si="51"/>
        <v>181.33315199999998</v>
      </c>
      <c r="BJ128" s="387">
        <f t="shared" si="52"/>
        <v>823.70287999999994</v>
      </c>
      <c r="BK128" s="387">
        <f t="shared" si="53"/>
        <v>0</v>
      </c>
      <c r="BL128" s="387">
        <f t="shared" si="76"/>
        <v>13331.542224000001</v>
      </c>
      <c r="BM128" s="387">
        <f t="shared" si="77"/>
        <v>0</v>
      </c>
      <c r="BN128" s="387">
        <f t="shared" si="54"/>
        <v>11650</v>
      </c>
      <c r="BO128" s="387">
        <f t="shared" si="55"/>
        <v>0</v>
      </c>
      <c r="BP128" s="387">
        <f t="shared" si="56"/>
        <v>3674.0703999999996</v>
      </c>
      <c r="BQ128" s="387">
        <f t="shared" si="57"/>
        <v>859.25840000000005</v>
      </c>
      <c r="BR128" s="387">
        <f t="shared" si="58"/>
        <v>7075.5484800000004</v>
      </c>
      <c r="BS128" s="387">
        <f t="shared" si="59"/>
        <v>427.25883199999998</v>
      </c>
      <c r="BT128" s="387">
        <f t="shared" si="60"/>
        <v>0</v>
      </c>
      <c r="BU128" s="387">
        <f t="shared" si="61"/>
        <v>181.33315199999998</v>
      </c>
      <c r="BV128" s="387">
        <f t="shared" si="62"/>
        <v>823.70287999999994</v>
      </c>
      <c r="BW128" s="387">
        <f t="shared" si="63"/>
        <v>0</v>
      </c>
      <c r="BX128" s="387">
        <f t="shared" si="78"/>
        <v>13041.172144</v>
      </c>
      <c r="BY128" s="387">
        <f t="shared" si="79"/>
        <v>0</v>
      </c>
      <c r="BZ128" s="387">
        <f t="shared" si="80"/>
        <v>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0</v>
      </c>
      <c r="CE128" s="387">
        <f t="shared" si="66"/>
        <v>0</v>
      </c>
      <c r="CF128" s="387">
        <f t="shared" si="67"/>
        <v>-290.37007999999997</v>
      </c>
      <c r="CG128" s="387">
        <f t="shared" si="68"/>
        <v>0</v>
      </c>
      <c r="CH128" s="387">
        <f t="shared" si="69"/>
        <v>0</v>
      </c>
      <c r="CI128" s="387">
        <f t="shared" si="70"/>
        <v>0</v>
      </c>
      <c r="CJ128" s="387">
        <f t="shared" si="83"/>
        <v>-290.37007999999997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0450-27</v>
      </c>
    </row>
    <row r="129" spans="1:92" ht="15.75" thickBot="1" x14ac:dyDescent="0.3">
      <c r="A129" s="376" t="s">
        <v>161</v>
      </c>
      <c r="B129" s="376" t="s">
        <v>162</v>
      </c>
      <c r="C129" s="376" t="s">
        <v>662</v>
      </c>
      <c r="D129" s="376" t="s">
        <v>663</v>
      </c>
      <c r="E129" s="376" t="s">
        <v>251</v>
      </c>
      <c r="F129" s="382" t="s">
        <v>654</v>
      </c>
      <c r="G129" s="376" t="s">
        <v>583</v>
      </c>
      <c r="H129" s="378"/>
      <c r="I129" s="378"/>
      <c r="J129" s="376" t="s">
        <v>186</v>
      </c>
      <c r="K129" s="376" t="s">
        <v>664</v>
      </c>
      <c r="L129" s="376" t="s">
        <v>283</v>
      </c>
      <c r="M129" s="376" t="s">
        <v>171</v>
      </c>
      <c r="N129" s="376" t="s">
        <v>172</v>
      </c>
      <c r="O129" s="379">
        <v>1</v>
      </c>
      <c r="P129" s="385">
        <v>1</v>
      </c>
      <c r="Q129" s="385">
        <v>1</v>
      </c>
      <c r="R129" s="380">
        <v>80</v>
      </c>
      <c r="S129" s="385">
        <v>1</v>
      </c>
      <c r="T129" s="380">
        <v>41600</v>
      </c>
      <c r="U129" s="380">
        <v>0</v>
      </c>
      <c r="V129" s="380">
        <v>16259.17</v>
      </c>
      <c r="W129" s="380">
        <v>72800</v>
      </c>
      <c r="X129" s="380">
        <v>28027.8</v>
      </c>
      <c r="Y129" s="380">
        <v>72800</v>
      </c>
      <c r="Z129" s="380">
        <v>27671.08</v>
      </c>
      <c r="AA129" s="376" t="s">
        <v>665</v>
      </c>
      <c r="AB129" s="376" t="s">
        <v>666</v>
      </c>
      <c r="AC129" s="376" t="s">
        <v>429</v>
      </c>
      <c r="AD129" s="376" t="s">
        <v>228</v>
      </c>
      <c r="AE129" s="376" t="s">
        <v>664</v>
      </c>
      <c r="AF129" s="376" t="s">
        <v>288</v>
      </c>
      <c r="AG129" s="376" t="s">
        <v>178</v>
      </c>
      <c r="AH129" s="379">
        <v>35</v>
      </c>
      <c r="AI129" s="379">
        <v>2112</v>
      </c>
      <c r="AJ129" s="376" t="s">
        <v>179</v>
      </c>
      <c r="AK129" s="376" t="s">
        <v>180</v>
      </c>
      <c r="AL129" s="376" t="s">
        <v>181</v>
      </c>
      <c r="AM129" s="376" t="s">
        <v>182</v>
      </c>
      <c r="AN129" s="376" t="s">
        <v>68</v>
      </c>
      <c r="AO129" s="379">
        <v>80</v>
      </c>
      <c r="AP129" s="385">
        <v>1</v>
      </c>
      <c r="AQ129" s="385">
        <v>1</v>
      </c>
      <c r="AR129" s="383" t="s">
        <v>183</v>
      </c>
      <c r="AS129" s="387">
        <f t="shared" si="71"/>
        <v>1</v>
      </c>
      <c r="AT129">
        <f t="shared" si="72"/>
        <v>1</v>
      </c>
      <c r="AU129" s="387">
        <f>IF(AT129=0,"",IF(AND(AT129=1,M129="F",SUMIF(C2:C206,C129,AS2:AS206)&lt;=1),SUMIF(C2:C206,C129,AS2:AS206),IF(AND(AT129=1,M129="F",SUMIF(C2:C206,C129,AS2:AS206)&gt;1),1,"")))</f>
        <v>1</v>
      </c>
      <c r="AV129" s="387" t="str">
        <f>IF(AT129=0,"",IF(AND(AT129=3,M129="F",SUMIF(C2:C206,C129,AS2:AS206)&lt;=1),SUMIF(C2:C206,C129,AS2:AS206),IF(AND(AT129=3,M129="F",SUMIF(C2:C206,C129,AS2:AS206)&gt;1),1,"")))</f>
        <v/>
      </c>
      <c r="AW129" s="387">
        <f>SUMIF(C2:C206,C129,O2:O206)</f>
        <v>1</v>
      </c>
      <c r="AX129" s="387">
        <f>IF(AND(M129="F",AS129&lt;&gt;0),SUMIF(C2:C206,C129,W2:W206),0)</f>
        <v>72800</v>
      </c>
      <c r="AY129" s="387">
        <f t="shared" si="73"/>
        <v>72800</v>
      </c>
      <c r="AZ129" s="387" t="str">
        <f t="shared" si="74"/>
        <v/>
      </c>
      <c r="BA129" s="387">
        <f t="shared" si="75"/>
        <v>0</v>
      </c>
      <c r="BB129" s="387">
        <f t="shared" si="44"/>
        <v>11650</v>
      </c>
      <c r="BC129" s="387">
        <f t="shared" si="45"/>
        <v>0</v>
      </c>
      <c r="BD129" s="387">
        <f t="shared" si="46"/>
        <v>4513.6000000000004</v>
      </c>
      <c r="BE129" s="387">
        <f t="shared" si="47"/>
        <v>1055.6000000000001</v>
      </c>
      <c r="BF129" s="387">
        <f t="shared" si="48"/>
        <v>8692.32</v>
      </c>
      <c r="BG129" s="387">
        <f t="shared" si="49"/>
        <v>524.88800000000003</v>
      </c>
      <c r="BH129" s="387">
        <f t="shared" si="50"/>
        <v>356.71999999999997</v>
      </c>
      <c r="BI129" s="387">
        <f t="shared" si="51"/>
        <v>222.76799999999997</v>
      </c>
      <c r="BJ129" s="387">
        <f t="shared" si="52"/>
        <v>1011.92</v>
      </c>
      <c r="BK129" s="387">
        <f t="shared" si="53"/>
        <v>0</v>
      </c>
      <c r="BL129" s="387">
        <f t="shared" si="76"/>
        <v>16377.816000000001</v>
      </c>
      <c r="BM129" s="387">
        <f t="shared" si="77"/>
        <v>0</v>
      </c>
      <c r="BN129" s="387">
        <f t="shared" si="54"/>
        <v>11650</v>
      </c>
      <c r="BO129" s="387">
        <f t="shared" si="55"/>
        <v>0</v>
      </c>
      <c r="BP129" s="387">
        <f t="shared" si="56"/>
        <v>4513.6000000000004</v>
      </c>
      <c r="BQ129" s="387">
        <f t="shared" si="57"/>
        <v>1055.6000000000001</v>
      </c>
      <c r="BR129" s="387">
        <f t="shared" si="58"/>
        <v>8692.32</v>
      </c>
      <c r="BS129" s="387">
        <f t="shared" si="59"/>
        <v>524.88800000000003</v>
      </c>
      <c r="BT129" s="387">
        <f t="shared" si="60"/>
        <v>0</v>
      </c>
      <c r="BU129" s="387">
        <f t="shared" si="61"/>
        <v>222.76799999999997</v>
      </c>
      <c r="BV129" s="387">
        <f t="shared" si="62"/>
        <v>1011.92</v>
      </c>
      <c r="BW129" s="387">
        <f t="shared" si="63"/>
        <v>0</v>
      </c>
      <c r="BX129" s="387">
        <f t="shared" si="78"/>
        <v>16021.096000000001</v>
      </c>
      <c r="BY129" s="387">
        <f t="shared" si="79"/>
        <v>0</v>
      </c>
      <c r="BZ129" s="387">
        <f t="shared" si="80"/>
        <v>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0</v>
      </c>
      <c r="CE129" s="387">
        <f t="shared" si="66"/>
        <v>0</v>
      </c>
      <c r="CF129" s="387">
        <f t="shared" si="67"/>
        <v>-356.71999999999997</v>
      </c>
      <c r="CG129" s="387">
        <f t="shared" si="68"/>
        <v>0</v>
      </c>
      <c r="CH129" s="387">
        <f t="shared" si="69"/>
        <v>0</v>
      </c>
      <c r="CI129" s="387">
        <f t="shared" si="70"/>
        <v>0</v>
      </c>
      <c r="CJ129" s="387">
        <f t="shared" si="83"/>
        <v>-356.71999999999997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0450-27</v>
      </c>
    </row>
    <row r="130" spans="1:92" ht="15.75" thickBot="1" x14ac:dyDescent="0.3">
      <c r="A130" s="376" t="s">
        <v>161</v>
      </c>
      <c r="B130" s="376" t="s">
        <v>162</v>
      </c>
      <c r="C130" s="376" t="s">
        <v>667</v>
      </c>
      <c r="D130" s="376" t="s">
        <v>668</v>
      </c>
      <c r="E130" s="376" t="s">
        <v>251</v>
      </c>
      <c r="F130" s="382" t="s">
        <v>654</v>
      </c>
      <c r="G130" s="376" t="s">
        <v>583</v>
      </c>
      <c r="H130" s="378"/>
      <c r="I130" s="378"/>
      <c r="J130" s="376" t="s">
        <v>186</v>
      </c>
      <c r="K130" s="376" t="s">
        <v>669</v>
      </c>
      <c r="L130" s="376" t="s">
        <v>170</v>
      </c>
      <c r="M130" s="376" t="s">
        <v>171</v>
      </c>
      <c r="N130" s="376" t="s">
        <v>172</v>
      </c>
      <c r="O130" s="379">
        <v>1</v>
      </c>
      <c r="P130" s="385">
        <v>1</v>
      </c>
      <c r="Q130" s="385">
        <v>1</v>
      </c>
      <c r="R130" s="380">
        <v>80</v>
      </c>
      <c r="S130" s="385">
        <v>1</v>
      </c>
      <c r="T130" s="380">
        <v>54856</v>
      </c>
      <c r="U130" s="380">
        <v>0</v>
      </c>
      <c r="V130" s="380">
        <v>22833.93</v>
      </c>
      <c r="W130" s="380">
        <v>54953.599999999999</v>
      </c>
      <c r="X130" s="380">
        <v>24012.87</v>
      </c>
      <c r="Y130" s="380">
        <v>54953.599999999999</v>
      </c>
      <c r="Z130" s="380">
        <v>23743.599999999999</v>
      </c>
      <c r="AA130" s="376" t="s">
        <v>670</v>
      </c>
      <c r="AB130" s="376" t="s">
        <v>671</v>
      </c>
      <c r="AC130" s="376" t="s">
        <v>474</v>
      </c>
      <c r="AD130" s="376" t="s">
        <v>279</v>
      </c>
      <c r="AE130" s="376" t="s">
        <v>669</v>
      </c>
      <c r="AF130" s="376" t="s">
        <v>177</v>
      </c>
      <c r="AG130" s="376" t="s">
        <v>178</v>
      </c>
      <c r="AH130" s="381">
        <v>26.42</v>
      </c>
      <c r="AI130" s="381">
        <v>20417.5</v>
      </c>
      <c r="AJ130" s="376" t="s">
        <v>179</v>
      </c>
      <c r="AK130" s="376" t="s">
        <v>180</v>
      </c>
      <c r="AL130" s="376" t="s">
        <v>181</v>
      </c>
      <c r="AM130" s="376" t="s">
        <v>182</v>
      </c>
      <c r="AN130" s="376" t="s">
        <v>68</v>
      </c>
      <c r="AO130" s="379">
        <v>80</v>
      </c>
      <c r="AP130" s="385">
        <v>1</v>
      </c>
      <c r="AQ130" s="385">
        <v>1</v>
      </c>
      <c r="AR130" s="383" t="s">
        <v>183</v>
      </c>
      <c r="AS130" s="387">
        <f t="shared" si="71"/>
        <v>1</v>
      </c>
      <c r="AT130">
        <f t="shared" si="72"/>
        <v>1</v>
      </c>
      <c r="AU130" s="387">
        <f>IF(AT130=0,"",IF(AND(AT130=1,M130="F",SUMIF(C2:C206,C130,AS2:AS206)&lt;=1),SUMIF(C2:C206,C130,AS2:AS206),IF(AND(AT130=1,M130="F",SUMIF(C2:C206,C130,AS2:AS206)&gt;1),1,"")))</f>
        <v>1</v>
      </c>
      <c r="AV130" s="387" t="str">
        <f>IF(AT130=0,"",IF(AND(AT130=3,M130="F",SUMIF(C2:C206,C130,AS2:AS206)&lt;=1),SUMIF(C2:C206,C130,AS2:AS206),IF(AND(AT130=3,M130="F",SUMIF(C2:C206,C130,AS2:AS206)&gt;1),1,"")))</f>
        <v/>
      </c>
      <c r="AW130" s="387">
        <f>SUMIF(C2:C206,C130,O2:O206)</f>
        <v>1</v>
      </c>
      <c r="AX130" s="387">
        <f>IF(AND(M130="F",AS130&lt;&gt;0),SUMIF(C2:C206,C130,W2:W206),0)</f>
        <v>54953.599999999999</v>
      </c>
      <c r="AY130" s="387">
        <f t="shared" si="73"/>
        <v>54953.599999999999</v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3407.1232</v>
      </c>
      <c r="BE130" s="387">
        <f t="shared" ref="BE130:BE193" si="91">IF(AT130&lt;&gt;0,SSHI*W130,0)</f>
        <v>796.82720000000006</v>
      </c>
      <c r="BF130" s="387">
        <f t="shared" ref="BF130:BF193" si="92">IF(AND(AT130&lt;&gt;0,AN130&lt;&gt;"NE"),VLOOKUP(AN130,Retirement_Rates,3,FALSE)*W130,0)</f>
        <v>6561.4598400000004</v>
      </c>
      <c r="BG130" s="387">
        <f t="shared" ref="BG130:BG193" si="93">IF(AND(AT130&lt;&gt;0,AJ130&lt;&gt;"PF"),Life*W130,0)</f>
        <v>396.21545600000002</v>
      </c>
      <c r="BH130" s="387">
        <f t="shared" ref="BH130:BH193" si="94">IF(AND(AT130&lt;&gt;0,AM130="Y"),UI*W130,0)</f>
        <v>269.27263999999997</v>
      </c>
      <c r="BI130" s="387">
        <f t="shared" ref="BI130:BI193" si="95">IF(AND(AT130&lt;&gt;0,N130&lt;&gt;"NR"),DHR*W130,0)</f>
        <v>168.15801599999998</v>
      </c>
      <c r="BJ130" s="387">
        <f t="shared" ref="BJ130:BJ193" si="96">IF(AT130&lt;&gt;0,WC*W130,0)</f>
        <v>763.85503999999992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12362.911392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3407.1232</v>
      </c>
      <c r="BQ130" s="387">
        <f t="shared" ref="BQ130:BQ193" si="101">IF(AT130&lt;&gt;0,SSHIBY*W130,0)</f>
        <v>796.82720000000006</v>
      </c>
      <c r="BR130" s="387">
        <f t="shared" ref="BR130:BR193" si="102">IF(AND(AT130&lt;&gt;0,AN130&lt;&gt;"NE"),VLOOKUP(AN130,Retirement_Rates,4,FALSE)*W130,0)</f>
        <v>6561.4598400000004</v>
      </c>
      <c r="BS130" s="387">
        <f t="shared" ref="BS130:BS193" si="103">IF(AND(AT130&lt;&gt;0,AJ130&lt;&gt;"PF"),LifeBY*W130,0)</f>
        <v>396.21545600000002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168.15801599999998</v>
      </c>
      <c r="BV130" s="387">
        <f t="shared" ref="BV130:BV193" si="106">IF(AT130&lt;&gt;0,WCBY*W130,0)</f>
        <v>763.85503999999992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12093.638752000001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-269.27263999999997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0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-269.27263999999997</v>
      </c>
      <c r="CK130" s="387" t="str">
        <f t="shared" si="84"/>
        <v/>
      </c>
      <c r="CL130" s="387" t="str">
        <f t="shared" si="85"/>
        <v/>
      </c>
      <c r="CM130" s="387" t="str">
        <f t="shared" si="86"/>
        <v/>
      </c>
      <c r="CN130" s="387" t="str">
        <f t="shared" si="87"/>
        <v>0450-27</v>
      </c>
    </row>
    <row r="131" spans="1:92" ht="15.75" thickBot="1" x14ac:dyDescent="0.3">
      <c r="A131" s="376" t="s">
        <v>161</v>
      </c>
      <c r="B131" s="376" t="s">
        <v>162</v>
      </c>
      <c r="C131" s="376" t="s">
        <v>672</v>
      </c>
      <c r="D131" s="376" t="s">
        <v>668</v>
      </c>
      <c r="E131" s="376" t="s">
        <v>251</v>
      </c>
      <c r="F131" s="382" t="s">
        <v>654</v>
      </c>
      <c r="G131" s="376" t="s">
        <v>583</v>
      </c>
      <c r="H131" s="378"/>
      <c r="I131" s="378"/>
      <c r="J131" s="376" t="s">
        <v>186</v>
      </c>
      <c r="K131" s="376" t="s">
        <v>669</v>
      </c>
      <c r="L131" s="376" t="s">
        <v>170</v>
      </c>
      <c r="M131" s="376" t="s">
        <v>171</v>
      </c>
      <c r="N131" s="376" t="s">
        <v>172</v>
      </c>
      <c r="O131" s="379">
        <v>1</v>
      </c>
      <c r="P131" s="385">
        <v>1</v>
      </c>
      <c r="Q131" s="385">
        <v>1</v>
      </c>
      <c r="R131" s="380">
        <v>80</v>
      </c>
      <c r="S131" s="385">
        <v>1</v>
      </c>
      <c r="T131" s="380">
        <v>45971.199999999997</v>
      </c>
      <c r="U131" s="380">
        <v>0</v>
      </c>
      <c r="V131" s="380">
        <v>21611.77</v>
      </c>
      <c r="W131" s="380">
        <v>47590.400000000001</v>
      </c>
      <c r="X131" s="380">
        <v>22356.38</v>
      </c>
      <c r="Y131" s="380">
        <v>47590.400000000001</v>
      </c>
      <c r="Z131" s="380">
        <v>22123.19</v>
      </c>
      <c r="AA131" s="376" t="s">
        <v>673</v>
      </c>
      <c r="AB131" s="376" t="s">
        <v>674</v>
      </c>
      <c r="AC131" s="376" t="s">
        <v>675</v>
      </c>
      <c r="AD131" s="376" t="s">
        <v>676</v>
      </c>
      <c r="AE131" s="376" t="s">
        <v>677</v>
      </c>
      <c r="AF131" s="376" t="s">
        <v>193</v>
      </c>
      <c r="AG131" s="376" t="s">
        <v>178</v>
      </c>
      <c r="AH131" s="381">
        <v>22.88</v>
      </c>
      <c r="AI131" s="379">
        <v>2800</v>
      </c>
      <c r="AJ131" s="376" t="s">
        <v>179</v>
      </c>
      <c r="AK131" s="376" t="s">
        <v>180</v>
      </c>
      <c r="AL131" s="376" t="s">
        <v>181</v>
      </c>
      <c r="AM131" s="376" t="s">
        <v>182</v>
      </c>
      <c r="AN131" s="376" t="s">
        <v>68</v>
      </c>
      <c r="AO131" s="379">
        <v>80</v>
      </c>
      <c r="AP131" s="385">
        <v>1</v>
      </c>
      <c r="AQ131" s="385">
        <v>1</v>
      </c>
      <c r="AR131" s="383">
        <v>3</v>
      </c>
      <c r="AS131" s="387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IF(AT131=0,"",IF(AND(AT131=1,M131="F",SUMIF(C2:C206,C131,AS2:AS206)&lt;=1),SUMIF(C2:C206,C131,AS2:AS206),IF(AND(AT131=1,M131="F",SUMIF(C2:C206,C131,AS2:AS206)&gt;1),1,"")))</f>
        <v>1</v>
      </c>
      <c r="AV131" s="387" t="str">
        <f>IF(AT131=0,"",IF(AND(AT131=3,M131="F",SUMIF(C2:C206,C131,AS2:AS206)&lt;=1),SUMIF(C2:C206,C131,AS2:AS206),IF(AND(AT131=3,M131="F",SUMIF(C2:C206,C131,AS2:AS206)&gt;1),1,"")))</f>
        <v/>
      </c>
      <c r="AW131" s="387">
        <f>SUMIF(C2:C206,C131,O2:O206)</f>
        <v>1</v>
      </c>
      <c r="AX131" s="387">
        <f>IF(AND(M131="F",AS131&lt;&gt;0),SUMIF(C2:C206,C131,W2:W206),0)</f>
        <v>47590.400000000001</v>
      </c>
      <c r="AY131" s="387">
        <f t="shared" ref="AY131:AY194" si="117">IF(AT131=1,W131,"")</f>
        <v>47590.400000000001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11650</v>
      </c>
      <c r="BC131" s="387">
        <f t="shared" si="89"/>
        <v>0</v>
      </c>
      <c r="BD131" s="387">
        <f t="shared" si="90"/>
        <v>2950.6048000000001</v>
      </c>
      <c r="BE131" s="387">
        <f t="shared" si="91"/>
        <v>690.06080000000009</v>
      </c>
      <c r="BF131" s="387">
        <f t="shared" si="92"/>
        <v>5682.2937600000005</v>
      </c>
      <c r="BG131" s="387">
        <f t="shared" si="93"/>
        <v>343.12678400000004</v>
      </c>
      <c r="BH131" s="387">
        <f t="shared" si="94"/>
        <v>233.19296</v>
      </c>
      <c r="BI131" s="387">
        <f t="shared" si="95"/>
        <v>145.62662399999999</v>
      </c>
      <c r="BJ131" s="387">
        <f t="shared" si="96"/>
        <v>661.50656000000004</v>
      </c>
      <c r="BK131" s="387">
        <f t="shared" si="97"/>
        <v>0</v>
      </c>
      <c r="BL131" s="387">
        <f t="shared" ref="BL131:BL194" si="120">IF(AT131=1,SUM(BD131:BK131),0)</f>
        <v>10706.412288000001</v>
      </c>
      <c r="BM131" s="387">
        <f t="shared" ref="BM131:BM194" si="121">IF(AT131=3,SUM(BD131:BK131),0)</f>
        <v>0</v>
      </c>
      <c r="BN131" s="387">
        <f t="shared" si="98"/>
        <v>11650</v>
      </c>
      <c r="BO131" s="387">
        <f t="shared" si="99"/>
        <v>0</v>
      </c>
      <c r="BP131" s="387">
        <f t="shared" si="100"/>
        <v>2950.6048000000001</v>
      </c>
      <c r="BQ131" s="387">
        <f t="shared" si="101"/>
        <v>690.06080000000009</v>
      </c>
      <c r="BR131" s="387">
        <f t="shared" si="102"/>
        <v>5682.2937600000005</v>
      </c>
      <c r="BS131" s="387">
        <f t="shared" si="103"/>
        <v>343.12678400000004</v>
      </c>
      <c r="BT131" s="387">
        <f t="shared" si="104"/>
        <v>0</v>
      </c>
      <c r="BU131" s="387">
        <f t="shared" si="105"/>
        <v>145.62662399999999</v>
      </c>
      <c r="BV131" s="387">
        <f t="shared" si="106"/>
        <v>661.50656000000004</v>
      </c>
      <c r="BW131" s="387">
        <f t="shared" si="107"/>
        <v>0</v>
      </c>
      <c r="BX131" s="387">
        <f t="shared" ref="BX131:BX194" si="122">IF(AT131=1,SUM(BP131:BW131),0)</f>
        <v>10473.219328000001</v>
      </c>
      <c r="BY131" s="387">
        <f t="shared" ref="BY131:BY194" si="123">IF(AT131=3,SUM(BP131:BW131),0)</f>
        <v>0</v>
      </c>
      <c r="BZ131" s="387">
        <f t="shared" ref="BZ131:BZ194" si="124">IF(AT131=1,BN131-BB131,0)</f>
        <v>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0</v>
      </c>
      <c r="CE131" s="387">
        <f t="shared" si="110"/>
        <v>0</v>
      </c>
      <c r="CF131" s="387">
        <f t="shared" si="111"/>
        <v>-233.19296</v>
      </c>
      <c r="CG131" s="387">
        <f t="shared" si="112"/>
        <v>0</v>
      </c>
      <c r="CH131" s="387">
        <f t="shared" si="113"/>
        <v>0</v>
      </c>
      <c r="CI131" s="387">
        <f t="shared" si="114"/>
        <v>0</v>
      </c>
      <c r="CJ131" s="387">
        <f t="shared" ref="CJ131:CJ194" si="127">IF(AT131=1,SUM(CB131:CI131),0)</f>
        <v>-233.19296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0450-27</v>
      </c>
    </row>
    <row r="132" spans="1:92" ht="15.75" thickBot="1" x14ac:dyDescent="0.3">
      <c r="A132" s="376" t="s">
        <v>161</v>
      </c>
      <c r="B132" s="376" t="s">
        <v>162</v>
      </c>
      <c r="C132" s="376" t="s">
        <v>678</v>
      </c>
      <c r="D132" s="376" t="s">
        <v>668</v>
      </c>
      <c r="E132" s="376" t="s">
        <v>251</v>
      </c>
      <c r="F132" s="382" t="s">
        <v>654</v>
      </c>
      <c r="G132" s="376" t="s">
        <v>583</v>
      </c>
      <c r="H132" s="378"/>
      <c r="I132" s="378"/>
      <c r="J132" s="376" t="s">
        <v>186</v>
      </c>
      <c r="K132" s="376" t="s">
        <v>669</v>
      </c>
      <c r="L132" s="376" t="s">
        <v>170</v>
      </c>
      <c r="M132" s="376" t="s">
        <v>171</v>
      </c>
      <c r="N132" s="376" t="s">
        <v>172</v>
      </c>
      <c r="O132" s="379">
        <v>1</v>
      </c>
      <c r="P132" s="385">
        <v>1</v>
      </c>
      <c r="Q132" s="385">
        <v>1</v>
      </c>
      <c r="R132" s="380">
        <v>80</v>
      </c>
      <c r="S132" s="385">
        <v>1</v>
      </c>
      <c r="T132" s="380">
        <v>64188.800000000003</v>
      </c>
      <c r="U132" s="380">
        <v>0</v>
      </c>
      <c r="V132" s="380">
        <v>24950.85</v>
      </c>
      <c r="W132" s="380">
        <v>64188.800000000003</v>
      </c>
      <c r="X132" s="380">
        <v>26090.52</v>
      </c>
      <c r="Y132" s="380">
        <v>64188.800000000003</v>
      </c>
      <c r="Z132" s="380">
        <v>25776</v>
      </c>
      <c r="AA132" s="376" t="s">
        <v>679</v>
      </c>
      <c r="AB132" s="376" t="s">
        <v>680</v>
      </c>
      <c r="AC132" s="376" t="s">
        <v>681</v>
      </c>
      <c r="AD132" s="376" t="s">
        <v>682</v>
      </c>
      <c r="AE132" s="376" t="s">
        <v>669</v>
      </c>
      <c r="AF132" s="376" t="s">
        <v>177</v>
      </c>
      <c r="AG132" s="376" t="s">
        <v>178</v>
      </c>
      <c r="AH132" s="381">
        <v>30.86</v>
      </c>
      <c r="AI132" s="381">
        <v>18364.5</v>
      </c>
      <c r="AJ132" s="376" t="s">
        <v>179</v>
      </c>
      <c r="AK132" s="376" t="s">
        <v>180</v>
      </c>
      <c r="AL132" s="376" t="s">
        <v>181</v>
      </c>
      <c r="AM132" s="376" t="s">
        <v>182</v>
      </c>
      <c r="AN132" s="376" t="s">
        <v>68</v>
      </c>
      <c r="AO132" s="379">
        <v>80</v>
      </c>
      <c r="AP132" s="385">
        <v>1</v>
      </c>
      <c r="AQ132" s="385">
        <v>1</v>
      </c>
      <c r="AR132" s="383" t="s">
        <v>183</v>
      </c>
      <c r="AS132" s="387">
        <f t="shared" si="115"/>
        <v>1</v>
      </c>
      <c r="AT132">
        <f t="shared" si="116"/>
        <v>1</v>
      </c>
      <c r="AU132" s="387">
        <f>IF(AT132=0,"",IF(AND(AT132=1,M132="F",SUMIF(C2:C206,C132,AS2:AS206)&lt;=1),SUMIF(C2:C206,C132,AS2:AS206),IF(AND(AT132=1,M132="F",SUMIF(C2:C206,C132,AS2:AS206)&gt;1),1,"")))</f>
        <v>1</v>
      </c>
      <c r="AV132" s="387" t="str">
        <f>IF(AT132=0,"",IF(AND(AT132=3,M132="F",SUMIF(C2:C206,C132,AS2:AS206)&lt;=1),SUMIF(C2:C206,C132,AS2:AS206),IF(AND(AT132=3,M132="F",SUMIF(C2:C206,C132,AS2:AS206)&gt;1),1,"")))</f>
        <v/>
      </c>
      <c r="AW132" s="387">
        <f>SUMIF(C2:C206,C132,O2:O206)</f>
        <v>1</v>
      </c>
      <c r="AX132" s="387">
        <f>IF(AND(M132="F",AS132&lt;&gt;0),SUMIF(C2:C206,C132,W2:W206),0)</f>
        <v>64188.800000000003</v>
      </c>
      <c r="AY132" s="387">
        <f t="shared" si="117"/>
        <v>64188.800000000003</v>
      </c>
      <c r="AZ132" s="387" t="str">
        <f t="shared" si="118"/>
        <v/>
      </c>
      <c r="BA132" s="387">
        <f t="shared" si="119"/>
        <v>0</v>
      </c>
      <c r="BB132" s="387">
        <f t="shared" si="88"/>
        <v>11650</v>
      </c>
      <c r="BC132" s="387">
        <f t="shared" si="89"/>
        <v>0</v>
      </c>
      <c r="BD132" s="387">
        <f t="shared" si="90"/>
        <v>3979.7056000000002</v>
      </c>
      <c r="BE132" s="387">
        <f t="shared" si="91"/>
        <v>930.73760000000004</v>
      </c>
      <c r="BF132" s="387">
        <f t="shared" si="92"/>
        <v>7664.1427200000007</v>
      </c>
      <c r="BG132" s="387">
        <f t="shared" si="93"/>
        <v>462.80124800000004</v>
      </c>
      <c r="BH132" s="387">
        <f t="shared" si="94"/>
        <v>314.52512000000002</v>
      </c>
      <c r="BI132" s="387">
        <f t="shared" si="95"/>
        <v>196.41772799999998</v>
      </c>
      <c r="BJ132" s="387">
        <f t="shared" si="96"/>
        <v>892.22432000000003</v>
      </c>
      <c r="BK132" s="387">
        <f t="shared" si="97"/>
        <v>0</v>
      </c>
      <c r="BL132" s="387">
        <f t="shared" si="120"/>
        <v>14440.554336000001</v>
      </c>
      <c r="BM132" s="387">
        <f t="shared" si="121"/>
        <v>0</v>
      </c>
      <c r="BN132" s="387">
        <f t="shared" si="98"/>
        <v>11650</v>
      </c>
      <c r="BO132" s="387">
        <f t="shared" si="99"/>
        <v>0</v>
      </c>
      <c r="BP132" s="387">
        <f t="shared" si="100"/>
        <v>3979.7056000000002</v>
      </c>
      <c r="BQ132" s="387">
        <f t="shared" si="101"/>
        <v>930.73760000000004</v>
      </c>
      <c r="BR132" s="387">
        <f t="shared" si="102"/>
        <v>7664.1427200000007</v>
      </c>
      <c r="BS132" s="387">
        <f t="shared" si="103"/>
        <v>462.80124800000004</v>
      </c>
      <c r="BT132" s="387">
        <f t="shared" si="104"/>
        <v>0</v>
      </c>
      <c r="BU132" s="387">
        <f t="shared" si="105"/>
        <v>196.41772799999998</v>
      </c>
      <c r="BV132" s="387">
        <f t="shared" si="106"/>
        <v>892.22432000000003</v>
      </c>
      <c r="BW132" s="387">
        <f t="shared" si="107"/>
        <v>0</v>
      </c>
      <c r="BX132" s="387">
        <f t="shared" si="122"/>
        <v>14126.029216000001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-314.52512000000002</v>
      </c>
      <c r="CG132" s="387">
        <f t="shared" si="112"/>
        <v>0</v>
      </c>
      <c r="CH132" s="387">
        <f t="shared" si="113"/>
        <v>0</v>
      </c>
      <c r="CI132" s="387">
        <f t="shared" si="114"/>
        <v>0</v>
      </c>
      <c r="CJ132" s="387">
        <f t="shared" si="127"/>
        <v>-314.52512000000002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0450-27</v>
      </c>
    </row>
    <row r="133" spans="1:92" ht="15.75" thickBot="1" x14ac:dyDescent="0.3">
      <c r="A133" s="376" t="s">
        <v>161</v>
      </c>
      <c r="B133" s="376" t="s">
        <v>162</v>
      </c>
      <c r="C133" s="376" t="s">
        <v>683</v>
      </c>
      <c r="D133" s="376" t="s">
        <v>663</v>
      </c>
      <c r="E133" s="376" t="s">
        <v>251</v>
      </c>
      <c r="F133" s="382" t="s">
        <v>654</v>
      </c>
      <c r="G133" s="376" t="s">
        <v>583</v>
      </c>
      <c r="H133" s="378"/>
      <c r="I133" s="378"/>
      <c r="J133" s="376" t="s">
        <v>186</v>
      </c>
      <c r="K133" s="376" t="s">
        <v>664</v>
      </c>
      <c r="L133" s="376" t="s">
        <v>283</v>
      </c>
      <c r="M133" s="376" t="s">
        <v>171</v>
      </c>
      <c r="N133" s="376" t="s">
        <v>172</v>
      </c>
      <c r="O133" s="379">
        <v>1</v>
      </c>
      <c r="P133" s="385">
        <v>1</v>
      </c>
      <c r="Q133" s="385">
        <v>1</v>
      </c>
      <c r="R133" s="380">
        <v>80</v>
      </c>
      <c r="S133" s="385">
        <v>1</v>
      </c>
      <c r="T133" s="380">
        <v>49047.839999999997</v>
      </c>
      <c r="U133" s="380">
        <v>0</v>
      </c>
      <c r="V133" s="380">
        <v>19178.5</v>
      </c>
      <c r="W133" s="380">
        <v>72800</v>
      </c>
      <c r="X133" s="380">
        <v>28027.8</v>
      </c>
      <c r="Y133" s="380">
        <v>72800</v>
      </c>
      <c r="Z133" s="380">
        <v>27671.08</v>
      </c>
      <c r="AA133" s="376" t="s">
        <v>684</v>
      </c>
      <c r="AB133" s="376" t="s">
        <v>685</v>
      </c>
      <c r="AC133" s="376" t="s">
        <v>299</v>
      </c>
      <c r="AD133" s="376" t="s">
        <v>686</v>
      </c>
      <c r="AE133" s="376" t="s">
        <v>664</v>
      </c>
      <c r="AF133" s="376" t="s">
        <v>288</v>
      </c>
      <c r="AG133" s="376" t="s">
        <v>178</v>
      </c>
      <c r="AH133" s="379">
        <v>35</v>
      </c>
      <c r="AI133" s="379">
        <v>22261</v>
      </c>
      <c r="AJ133" s="376" t="s">
        <v>179</v>
      </c>
      <c r="AK133" s="376" t="s">
        <v>180</v>
      </c>
      <c r="AL133" s="376" t="s">
        <v>181</v>
      </c>
      <c r="AM133" s="376" t="s">
        <v>182</v>
      </c>
      <c r="AN133" s="376" t="s">
        <v>68</v>
      </c>
      <c r="AO133" s="379">
        <v>80</v>
      </c>
      <c r="AP133" s="385">
        <v>1</v>
      </c>
      <c r="AQ133" s="385">
        <v>1</v>
      </c>
      <c r="AR133" s="383" t="s">
        <v>183</v>
      </c>
      <c r="AS133" s="387">
        <f t="shared" si="115"/>
        <v>1</v>
      </c>
      <c r="AT133">
        <f t="shared" si="116"/>
        <v>1</v>
      </c>
      <c r="AU133" s="387">
        <f>IF(AT133=0,"",IF(AND(AT133=1,M133="F",SUMIF(C2:C206,C133,AS2:AS206)&lt;=1),SUMIF(C2:C206,C133,AS2:AS206),IF(AND(AT133=1,M133="F",SUMIF(C2:C206,C133,AS2:AS206)&gt;1),1,"")))</f>
        <v>1</v>
      </c>
      <c r="AV133" s="387" t="str">
        <f>IF(AT133=0,"",IF(AND(AT133=3,M133="F",SUMIF(C2:C206,C133,AS2:AS206)&lt;=1),SUMIF(C2:C206,C133,AS2:AS206),IF(AND(AT133=3,M133="F",SUMIF(C2:C206,C133,AS2:AS206)&gt;1),1,"")))</f>
        <v/>
      </c>
      <c r="AW133" s="387">
        <f>SUMIF(C2:C206,C133,O2:O206)</f>
        <v>1</v>
      </c>
      <c r="AX133" s="387">
        <f>IF(AND(M133="F",AS133&lt;&gt;0),SUMIF(C2:C206,C133,W2:W206),0)</f>
        <v>72800</v>
      </c>
      <c r="AY133" s="387">
        <f t="shared" si="117"/>
        <v>72800</v>
      </c>
      <c r="AZ133" s="387" t="str">
        <f t="shared" si="118"/>
        <v/>
      </c>
      <c r="BA133" s="387">
        <f t="shared" si="119"/>
        <v>0</v>
      </c>
      <c r="BB133" s="387">
        <f t="shared" si="88"/>
        <v>11650</v>
      </c>
      <c r="BC133" s="387">
        <f t="shared" si="89"/>
        <v>0</v>
      </c>
      <c r="BD133" s="387">
        <f t="shared" si="90"/>
        <v>4513.6000000000004</v>
      </c>
      <c r="BE133" s="387">
        <f t="shared" si="91"/>
        <v>1055.6000000000001</v>
      </c>
      <c r="BF133" s="387">
        <f t="shared" si="92"/>
        <v>8692.32</v>
      </c>
      <c r="BG133" s="387">
        <f t="shared" si="93"/>
        <v>524.88800000000003</v>
      </c>
      <c r="BH133" s="387">
        <f t="shared" si="94"/>
        <v>356.71999999999997</v>
      </c>
      <c r="BI133" s="387">
        <f t="shared" si="95"/>
        <v>222.76799999999997</v>
      </c>
      <c r="BJ133" s="387">
        <f t="shared" si="96"/>
        <v>1011.92</v>
      </c>
      <c r="BK133" s="387">
        <f t="shared" si="97"/>
        <v>0</v>
      </c>
      <c r="BL133" s="387">
        <f t="shared" si="120"/>
        <v>16377.816000000001</v>
      </c>
      <c r="BM133" s="387">
        <f t="shared" si="121"/>
        <v>0</v>
      </c>
      <c r="BN133" s="387">
        <f t="shared" si="98"/>
        <v>11650</v>
      </c>
      <c r="BO133" s="387">
        <f t="shared" si="99"/>
        <v>0</v>
      </c>
      <c r="BP133" s="387">
        <f t="shared" si="100"/>
        <v>4513.6000000000004</v>
      </c>
      <c r="BQ133" s="387">
        <f t="shared" si="101"/>
        <v>1055.6000000000001</v>
      </c>
      <c r="BR133" s="387">
        <f t="shared" si="102"/>
        <v>8692.32</v>
      </c>
      <c r="BS133" s="387">
        <f t="shared" si="103"/>
        <v>524.88800000000003</v>
      </c>
      <c r="BT133" s="387">
        <f t="shared" si="104"/>
        <v>0</v>
      </c>
      <c r="BU133" s="387">
        <f t="shared" si="105"/>
        <v>222.76799999999997</v>
      </c>
      <c r="BV133" s="387">
        <f t="shared" si="106"/>
        <v>1011.92</v>
      </c>
      <c r="BW133" s="387">
        <f t="shared" si="107"/>
        <v>0</v>
      </c>
      <c r="BX133" s="387">
        <f t="shared" si="122"/>
        <v>16021.096000000001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-356.71999999999997</v>
      </c>
      <c r="CG133" s="387">
        <f t="shared" si="112"/>
        <v>0</v>
      </c>
      <c r="CH133" s="387">
        <f t="shared" si="113"/>
        <v>0</v>
      </c>
      <c r="CI133" s="387">
        <f t="shared" si="114"/>
        <v>0</v>
      </c>
      <c r="CJ133" s="387">
        <f t="shared" si="127"/>
        <v>-356.71999999999997</v>
      </c>
      <c r="CK133" s="387" t="str">
        <f t="shared" si="128"/>
        <v/>
      </c>
      <c r="CL133" s="387" t="str">
        <f t="shared" si="129"/>
        <v/>
      </c>
      <c r="CM133" s="387" t="str">
        <f t="shared" si="130"/>
        <v/>
      </c>
      <c r="CN133" s="387" t="str">
        <f t="shared" si="131"/>
        <v>0450-27</v>
      </c>
    </row>
    <row r="134" spans="1:92" ht="15.75" thickBot="1" x14ac:dyDescent="0.3">
      <c r="A134" s="376" t="s">
        <v>161</v>
      </c>
      <c r="B134" s="376" t="s">
        <v>162</v>
      </c>
      <c r="C134" s="376" t="s">
        <v>687</v>
      </c>
      <c r="D134" s="376" t="s">
        <v>688</v>
      </c>
      <c r="E134" s="376" t="s">
        <v>251</v>
      </c>
      <c r="F134" s="382" t="s">
        <v>654</v>
      </c>
      <c r="G134" s="376" t="s">
        <v>583</v>
      </c>
      <c r="H134" s="378"/>
      <c r="I134" s="378"/>
      <c r="J134" s="376" t="s">
        <v>186</v>
      </c>
      <c r="K134" s="376" t="s">
        <v>689</v>
      </c>
      <c r="L134" s="376" t="s">
        <v>526</v>
      </c>
      <c r="M134" s="376" t="s">
        <v>171</v>
      </c>
      <c r="N134" s="376" t="s">
        <v>172</v>
      </c>
      <c r="O134" s="379">
        <v>1</v>
      </c>
      <c r="P134" s="385">
        <v>1</v>
      </c>
      <c r="Q134" s="385">
        <v>1</v>
      </c>
      <c r="R134" s="380">
        <v>80</v>
      </c>
      <c r="S134" s="385">
        <v>1</v>
      </c>
      <c r="T134" s="380">
        <v>34466.199999999997</v>
      </c>
      <c r="U134" s="380">
        <v>0</v>
      </c>
      <c r="V134" s="380">
        <v>18730.87</v>
      </c>
      <c r="W134" s="380">
        <v>35464</v>
      </c>
      <c r="X134" s="380">
        <v>19628.29</v>
      </c>
      <c r="Y134" s="380">
        <v>35464</v>
      </c>
      <c r="Z134" s="380">
        <v>19454.52</v>
      </c>
      <c r="AA134" s="376" t="s">
        <v>690</v>
      </c>
      <c r="AB134" s="376" t="s">
        <v>691</v>
      </c>
      <c r="AC134" s="376" t="s">
        <v>692</v>
      </c>
      <c r="AD134" s="376" t="s">
        <v>693</v>
      </c>
      <c r="AE134" s="376" t="s">
        <v>689</v>
      </c>
      <c r="AF134" s="376" t="s">
        <v>529</v>
      </c>
      <c r="AG134" s="376" t="s">
        <v>178</v>
      </c>
      <c r="AH134" s="381">
        <v>17.05</v>
      </c>
      <c r="AI134" s="381">
        <v>29204.9</v>
      </c>
      <c r="AJ134" s="376" t="s">
        <v>179</v>
      </c>
      <c r="AK134" s="376" t="s">
        <v>180</v>
      </c>
      <c r="AL134" s="376" t="s">
        <v>181</v>
      </c>
      <c r="AM134" s="376" t="s">
        <v>182</v>
      </c>
      <c r="AN134" s="376" t="s">
        <v>68</v>
      </c>
      <c r="AO134" s="379">
        <v>80</v>
      </c>
      <c r="AP134" s="385">
        <v>1</v>
      </c>
      <c r="AQ134" s="385">
        <v>1</v>
      </c>
      <c r="AR134" s="383" t="s">
        <v>183</v>
      </c>
      <c r="AS134" s="387">
        <f t="shared" si="115"/>
        <v>1</v>
      </c>
      <c r="AT134">
        <f t="shared" si="116"/>
        <v>1</v>
      </c>
      <c r="AU134" s="387">
        <f>IF(AT134=0,"",IF(AND(AT134=1,M134="F",SUMIF(C2:C206,C134,AS2:AS206)&lt;=1),SUMIF(C2:C206,C134,AS2:AS206),IF(AND(AT134=1,M134="F",SUMIF(C2:C206,C134,AS2:AS206)&gt;1),1,"")))</f>
        <v>1</v>
      </c>
      <c r="AV134" s="387" t="str">
        <f>IF(AT134=0,"",IF(AND(AT134=3,M134="F",SUMIF(C2:C206,C134,AS2:AS206)&lt;=1),SUMIF(C2:C206,C134,AS2:AS206),IF(AND(AT134=3,M134="F",SUMIF(C2:C206,C134,AS2:AS206)&gt;1),1,"")))</f>
        <v/>
      </c>
      <c r="AW134" s="387">
        <f>SUMIF(C2:C206,C134,O2:O206)</f>
        <v>2</v>
      </c>
      <c r="AX134" s="387">
        <f>IF(AND(M134="F",AS134&lt;&gt;0),SUMIF(C2:C206,C134,W2:W206),0)</f>
        <v>35464</v>
      </c>
      <c r="AY134" s="387">
        <f t="shared" si="117"/>
        <v>35464</v>
      </c>
      <c r="AZ134" s="387" t="str">
        <f t="shared" si="118"/>
        <v/>
      </c>
      <c r="BA134" s="387">
        <f t="shared" si="119"/>
        <v>0</v>
      </c>
      <c r="BB134" s="387">
        <f t="shared" si="88"/>
        <v>11650</v>
      </c>
      <c r="BC134" s="387">
        <f t="shared" si="89"/>
        <v>0</v>
      </c>
      <c r="BD134" s="387">
        <f t="shared" si="90"/>
        <v>2198.768</v>
      </c>
      <c r="BE134" s="387">
        <f t="shared" si="91"/>
        <v>514.22800000000007</v>
      </c>
      <c r="BF134" s="387">
        <f t="shared" si="92"/>
        <v>4234.4016000000001</v>
      </c>
      <c r="BG134" s="387">
        <f t="shared" si="93"/>
        <v>255.69544000000002</v>
      </c>
      <c r="BH134" s="387">
        <f t="shared" si="94"/>
        <v>173.77359999999999</v>
      </c>
      <c r="BI134" s="387">
        <f t="shared" si="95"/>
        <v>108.51983999999999</v>
      </c>
      <c r="BJ134" s="387">
        <f t="shared" si="96"/>
        <v>492.94959999999998</v>
      </c>
      <c r="BK134" s="387">
        <f t="shared" si="97"/>
        <v>0</v>
      </c>
      <c r="BL134" s="387">
        <f t="shared" si="120"/>
        <v>7978.33608</v>
      </c>
      <c r="BM134" s="387">
        <f t="shared" si="121"/>
        <v>0</v>
      </c>
      <c r="BN134" s="387">
        <f t="shared" si="98"/>
        <v>11650</v>
      </c>
      <c r="BO134" s="387">
        <f t="shared" si="99"/>
        <v>0</v>
      </c>
      <c r="BP134" s="387">
        <f t="shared" si="100"/>
        <v>2198.768</v>
      </c>
      <c r="BQ134" s="387">
        <f t="shared" si="101"/>
        <v>514.22800000000007</v>
      </c>
      <c r="BR134" s="387">
        <f t="shared" si="102"/>
        <v>4234.4016000000001</v>
      </c>
      <c r="BS134" s="387">
        <f t="shared" si="103"/>
        <v>255.69544000000002</v>
      </c>
      <c r="BT134" s="387">
        <f t="shared" si="104"/>
        <v>0</v>
      </c>
      <c r="BU134" s="387">
        <f t="shared" si="105"/>
        <v>108.51983999999999</v>
      </c>
      <c r="BV134" s="387">
        <f t="shared" si="106"/>
        <v>492.94959999999998</v>
      </c>
      <c r="BW134" s="387">
        <f t="shared" si="107"/>
        <v>0</v>
      </c>
      <c r="BX134" s="387">
        <f t="shared" si="122"/>
        <v>7804.5624800000005</v>
      </c>
      <c r="BY134" s="387">
        <f t="shared" si="123"/>
        <v>0</v>
      </c>
      <c r="BZ134" s="387">
        <f t="shared" si="124"/>
        <v>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0</v>
      </c>
      <c r="CE134" s="387">
        <f t="shared" si="110"/>
        <v>0</v>
      </c>
      <c r="CF134" s="387">
        <f t="shared" si="111"/>
        <v>-173.77359999999999</v>
      </c>
      <c r="CG134" s="387">
        <f t="shared" si="112"/>
        <v>0</v>
      </c>
      <c r="CH134" s="387">
        <f t="shared" si="113"/>
        <v>0</v>
      </c>
      <c r="CI134" s="387">
        <f t="shared" si="114"/>
        <v>0</v>
      </c>
      <c r="CJ134" s="387">
        <f t="shared" si="127"/>
        <v>-173.77359999999999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0450-27</v>
      </c>
    </row>
    <row r="135" spans="1:92" ht="15.75" thickBot="1" x14ac:dyDescent="0.3">
      <c r="A135" s="376" t="s">
        <v>161</v>
      </c>
      <c r="B135" s="376" t="s">
        <v>162</v>
      </c>
      <c r="C135" s="376" t="s">
        <v>694</v>
      </c>
      <c r="D135" s="376" t="s">
        <v>695</v>
      </c>
      <c r="E135" s="376" t="s">
        <v>251</v>
      </c>
      <c r="F135" s="382" t="s">
        <v>654</v>
      </c>
      <c r="G135" s="376" t="s">
        <v>583</v>
      </c>
      <c r="H135" s="378"/>
      <c r="I135" s="378"/>
      <c r="J135" s="376" t="s">
        <v>186</v>
      </c>
      <c r="K135" s="376" t="s">
        <v>696</v>
      </c>
      <c r="L135" s="376" t="s">
        <v>170</v>
      </c>
      <c r="M135" s="376" t="s">
        <v>171</v>
      </c>
      <c r="N135" s="376" t="s">
        <v>172</v>
      </c>
      <c r="O135" s="379">
        <v>1</v>
      </c>
      <c r="P135" s="385">
        <v>1</v>
      </c>
      <c r="Q135" s="385">
        <v>1</v>
      </c>
      <c r="R135" s="380">
        <v>80</v>
      </c>
      <c r="S135" s="385">
        <v>1</v>
      </c>
      <c r="T135" s="380">
        <v>56996</v>
      </c>
      <c r="U135" s="380">
        <v>0</v>
      </c>
      <c r="V135" s="380">
        <v>23292.85</v>
      </c>
      <c r="W135" s="380">
        <v>59259.199999999997</v>
      </c>
      <c r="X135" s="380">
        <v>24981.51</v>
      </c>
      <c r="Y135" s="380">
        <v>59259.199999999997</v>
      </c>
      <c r="Z135" s="380">
        <v>24691.14</v>
      </c>
      <c r="AA135" s="376" t="s">
        <v>697</v>
      </c>
      <c r="AB135" s="376" t="s">
        <v>698</v>
      </c>
      <c r="AC135" s="376" t="s">
        <v>227</v>
      </c>
      <c r="AD135" s="376" t="s">
        <v>378</v>
      </c>
      <c r="AE135" s="376" t="s">
        <v>696</v>
      </c>
      <c r="AF135" s="376" t="s">
        <v>177</v>
      </c>
      <c r="AG135" s="376" t="s">
        <v>178</v>
      </c>
      <c r="AH135" s="381">
        <v>28.49</v>
      </c>
      <c r="AI135" s="381">
        <v>8793.7999999999993</v>
      </c>
      <c r="AJ135" s="376" t="s">
        <v>179</v>
      </c>
      <c r="AK135" s="376" t="s">
        <v>180</v>
      </c>
      <c r="AL135" s="376" t="s">
        <v>181</v>
      </c>
      <c r="AM135" s="376" t="s">
        <v>182</v>
      </c>
      <c r="AN135" s="376" t="s">
        <v>68</v>
      </c>
      <c r="AO135" s="379">
        <v>80</v>
      </c>
      <c r="AP135" s="385">
        <v>1</v>
      </c>
      <c r="AQ135" s="385">
        <v>1</v>
      </c>
      <c r="AR135" s="383" t="s">
        <v>183</v>
      </c>
      <c r="AS135" s="387">
        <f t="shared" si="115"/>
        <v>1</v>
      </c>
      <c r="AT135">
        <f t="shared" si="116"/>
        <v>1</v>
      </c>
      <c r="AU135" s="387">
        <f>IF(AT135=0,"",IF(AND(AT135=1,M135="F",SUMIF(C2:C206,C135,AS2:AS206)&lt;=1),SUMIF(C2:C206,C135,AS2:AS206),IF(AND(AT135=1,M135="F",SUMIF(C2:C206,C135,AS2:AS206)&gt;1),1,"")))</f>
        <v>1</v>
      </c>
      <c r="AV135" s="387" t="str">
        <f>IF(AT135=0,"",IF(AND(AT135=3,M135="F",SUMIF(C2:C206,C135,AS2:AS206)&lt;=1),SUMIF(C2:C206,C135,AS2:AS206),IF(AND(AT135=3,M135="F",SUMIF(C2:C206,C135,AS2:AS206)&gt;1),1,"")))</f>
        <v/>
      </c>
      <c r="AW135" s="387">
        <f>SUMIF(C2:C206,C135,O2:O206)</f>
        <v>1</v>
      </c>
      <c r="AX135" s="387">
        <f>IF(AND(M135="F",AS135&lt;&gt;0),SUMIF(C2:C206,C135,W2:W206),0)</f>
        <v>59259.199999999997</v>
      </c>
      <c r="AY135" s="387">
        <f t="shared" si="117"/>
        <v>59259.199999999997</v>
      </c>
      <c r="AZ135" s="387" t="str">
        <f t="shared" si="118"/>
        <v/>
      </c>
      <c r="BA135" s="387">
        <f t="shared" si="119"/>
        <v>0</v>
      </c>
      <c r="BB135" s="387">
        <f t="shared" si="88"/>
        <v>11650</v>
      </c>
      <c r="BC135" s="387">
        <f t="shared" si="89"/>
        <v>0</v>
      </c>
      <c r="BD135" s="387">
        <f t="shared" si="90"/>
        <v>3674.0703999999996</v>
      </c>
      <c r="BE135" s="387">
        <f t="shared" si="91"/>
        <v>859.25840000000005</v>
      </c>
      <c r="BF135" s="387">
        <f t="shared" si="92"/>
        <v>7075.5484800000004</v>
      </c>
      <c r="BG135" s="387">
        <f t="shared" si="93"/>
        <v>427.25883199999998</v>
      </c>
      <c r="BH135" s="387">
        <f t="shared" si="94"/>
        <v>290.37007999999997</v>
      </c>
      <c r="BI135" s="387">
        <f t="shared" si="95"/>
        <v>181.33315199999998</v>
      </c>
      <c r="BJ135" s="387">
        <f t="shared" si="96"/>
        <v>823.70287999999994</v>
      </c>
      <c r="BK135" s="387">
        <f t="shared" si="97"/>
        <v>0</v>
      </c>
      <c r="BL135" s="387">
        <f t="shared" si="120"/>
        <v>13331.542224000001</v>
      </c>
      <c r="BM135" s="387">
        <f t="shared" si="121"/>
        <v>0</v>
      </c>
      <c r="BN135" s="387">
        <f t="shared" si="98"/>
        <v>11650</v>
      </c>
      <c r="BO135" s="387">
        <f t="shared" si="99"/>
        <v>0</v>
      </c>
      <c r="BP135" s="387">
        <f t="shared" si="100"/>
        <v>3674.0703999999996</v>
      </c>
      <c r="BQ135" s="387">
        <f t="shared" si="101"/>
        <v>859.25840000000005</v>
      </c>
      <c r="BR135" s="387">
        <f t="shared" si="102"/>
        <v>7075.5484800000004</v>
      </c>
      <c r="BS135" s="387">
        <f t="shared" si="103"/>
        <v>427.25883199999998</v>
      </c>
      <c r="BT135" s="387">
        <f t="shared" si="104"/>
        <v>0</v>
      </c>
      <c r="BU135" s="387">
        <f t="shared" si="105"/>
        <v>181.33315199999998</v>
      </c>
      <c r="BV135" s="387">
        <f t="shared" si="106"/>
        <v>823.70287999999994</v>
      </c>
      <c r="BW135" s="387">
        <f t="shared" si="107"/>
        <v>0</v>
      </c>
      <c r="BX135" s="387">
        <f t="shared" si="122"/>
        <v>13041.172144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-290.37007999999997</v>
      </c>
      <c r="CG135" s="387">
        <f t="shared" si="112"/>
        <v>0</v>
      </c>
      <c r="CH135" s="387">
        <f t="shared" si="113"/>
        <v>0</v>
      </c>
      <c r="CI135" s="387">
        <f t="shared" si="114"/>
        <v>0</v>
      </c>
      <c r="CJ135" s="387">
        <f t="shared" si="127"/>
        <v>-290.37007999999997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0450-27</v>
      </c>
    </row>
    <row r="136" spans="1:92" ht="15.75" thickBot="1" x14ac:dyDescent="0.3">
      <c r="A136" s="376" t="s">
        <v>161</v>
      </c>
      <c r="B136" s="376" t="s">
        <v>162</v>
      </c>
      <c r="C136" s="376" t="s">
        <v>699</v>
      </c>
      <c r="D136" s="376" t="s">
        <v>700</v>
      </c>
      <c r="E136" s="376" t="s">
        <v>251</v>
      </c>
      <c r="F136" s="382" t="s">
        <v>654</v>
      </c>
      <c r="G136" s="376" t="s">
        <v>583</v>
      </c>
      <c r="H136" s="378"/>
      <c r="I136" s="378"/>
      <c r="J136" s="376" t="s">
        <v>186</v>
      </c>
      <c r="K136" s="376" t="s">
        <v>701</v>
      </c>
      <c r="L136" s="376" t="s">
        <v>181</v>
      </c>
      <c r="M136" s="376" t="s">
        <v>171</v>
      </c>
      <c r="N136" s="376" t="s">
        <v>172</v>
      </c>
      <c r="O136" s="379">
        <v>1</v>
      </c>
      <c r="P136" s="385">
        <v>1</v>
      </c>
      <c r="Q136" s="385">
        <v>1</v>
      </c>
      <c r="R136" s="380">
        <v>80</v>
      </c>
      <c r="S136" s="385">
        <v>1</v>
      </c>
      <c r="T136" s="380">
        <v>74208.31</v>
      </c>
      <c r="U136" s="380">
        <v>0</v>
      </c>
      <c r="V136" s="380">
        <v>25290.720000000001</v>
      </c>
      <c r="W136" s="380">
        <v>86216</v>
      </c>
      <c r="X136" s="380">
        <v>31045.99</v>
      </c>
      <c r="Y136" s="380">
        <v>86216</v>
      </c>
      <c r="Z136" s="380">
        <v>30623.54</v>
      </c>
      <c r="AA136" s="376" t="s">
        <v>702</v>
      </c>
      <c r="AB136" s="376" t="s">
        <v>703</v>
      </c>
      <c r="AC136" s="376" t="s">
        <v>704</v>
      </c>
      <c r="AD136" s="376" t="s">
        <v>188</v>
      </c>
      <c r="AE136" s="376" t="s">
        <v>701</v>
      </c>
      <c r="AF136" s="376" t="s">
        <v>307</v>
      </c>
      <c r="AG136" s="376" t="s">
        <v>178</v>
      </c>
      <c r="AH136" s="381">
        <v>41.45</v>
      </c>
      <c r="AI136" s="381">
        <v>18821.5</v>
      </c>
      <c r="AJ136" s="376" t="s">
        <v>179</v>
      </c>
      <c r="AK136" s="376" t="s">
        <v>180</v>
      </c>
      <c r="AL136" s="376" t="s">
        <v>181</v>
      </c>
      <c r="AM136" s="376" t="s">
        <v>182</v>
      </c>
      <c r="AN136" s="376" t="s">
        <v>68</v>
      </c>
      <c r="AO136" s="379">
        <v>80</v>
      </c>
      <c r="AP136" s="385">
        <v>1</v>
      </c>
      <c r="AQ136" s="385">
        <v>1</v>
      </c>
      <c r="AR136" s="383" t="s">
        <v>183</v>
      </c>
      <c r="AS136" s="387">
        <f t="shared" si="115"/>
        <v>1</v>
      </c>
      <c r="AT136">
        <f t="shared" si="116"/>
        <v>1</v>
      </c>
      <c r="AU136" s="387">
        <f>IF(AT136=0,"",IF(AND(AT136=1,M136="F",SUMIF(C2:C206,C136,AS2:AS206)&lt;=1),SUMIF(C2:C206,C136,AS2:AS206),IF(AND(AT136=1,M136="F",SUMIF(C2:C206,C136,AS2:AS206)&gt;1),1,"")))</f>
        <v>1</v>
      </c>
      <c r="AV136" s="387" t="str">
        <f>IF(AT136=0,"",IF(AND(AT136=3,M136="F",SUMIF(C2:C206,C136,AS2:AS206)&lt;=1),SUMIF(C2:C206,C136,AS2:AS206),IF(AND(AT136=3,M136="F",SUMIF(C2:C206,C136,AS2:AS206)&gt;1),1,"")))</f>
        <v/>
      </c>
      <c r="AW136" s="387">
        <f>SUMIF(C2:C206,C136,O2:O206)</f>
        <v>1</v>
      </c>
      <c r="AX136" s="387">
        <f>IF(AND(M136="F",AS136&lt;&gt;0),SUMIF(C2:C206,C136,W2:W206),0)</f>
        <v>86216</v>
      </c>
      <c r="AY136" s="387">
        <f t="shared" si="117"/>
        <v>86216</v>
      </c>
      <c r="AZ136" s="387" t="str">
        <f t="shared" si="118"/>
        <v/>
      </c>
      <c r="BA136" s="387">
        <f t="shared" si="119"/>
        <v>0</v>
      </c>
      <c r="BB136" s="387">
        <f t="shared" si="88"/>
        <v>11650</v>
      </c>
      <c r="BC136" s="387">
        <f t="shared" si="89"/>
        <v>0</v>
      </c>
      <c r="BD136" s="387">
        <f t="shared" si="90"/>
        <v>5345.3919999999998</v>
      </c>
      <c r="BE136" s="387">
        <f t="shared" si="91"/>
        <v>1250.1320000000001</v>
      </c>
      <c r="BF136" s="387">
        <f t="shared" si="92"/>
        <v>10294.190400000001</v>
      </c>
      <c r="BG136" s="387">
        <f t="shared" si="93"/>
        <v>621.61736000000008</v>
      </c>
      <c r="BH136" s="387">
        <f t="shared" si="94"/>
        <v>422.45839999999998</v>
      </c>
      <c r="BI136" s="387">
        <f t="shared" si="95"/>
        <v>263.82095999999996</v>
      </c>
      <c r="BJ136" s="387">
        <f t="shared" si="96"/>
        <v>1198.4023999999999</v>
      </c>
      <c r="BK136" s="387">
        <f t="shared" si="97"/>
        <v>0</v>
      </c>
      <c r="BL136" s="387">
        <f t="shared" si="120"/>
        <v>19396.01352</v>
      </c>
      <c r="BM136" s="387">
        <f t="shared" si="121"/>
        <v>0</v>
      </c>
      <c r="BN136" s="387">
        <f t="shared" si="98"/>
        <v>11650</v>
      </c>
      <c r="BO136" s="387">
        <f t="shared" si="99"/>
        <v>0</v>
      </c>
      <c r="BP136" s="387">
        <f t="shared" si="100"/>
        <v>5345.3919999999998</v>
      </c>
      <c r="BQ136" s="387">
        <f t="shared" si="101"/>
        <v>1250.1320000000001</v>
      </c>
      <c r="BR136" s="387">
        <f t="shared" si="102"/>
        <v>10294.190400000001</v>
      </c>
      <c r="BS136" s="387">
        <f t="shared" si="103"/>
        <v>621.61736000000008</v>
      </c>
      <c r="BT136" s="387">
        <f t="shared" si="104"/>
        <v>0</v>
      </c>
      <c r="BU136" s="387">
        <f t="shared" si="105"/>
        <v>263.82095999999996</v>
      </c>
      <c r="BV136" s="387">
        <f t="shared" si="106"/>
        <v>1198.4023999999999</v>
      </c>
      <c r="BW136" s="387">
        <f t="shared" si="107"/>
        <v>0</v>
      </c>
      <c r="BX136" s="387">
        <f t="shared" si="122"/>
        <v>18973.555120000001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-422.45839999999998</v>
      </c>
      <c r="CG136" s="387">
        <f t="shared" si="112"/>
        <v>0</v>
      </c>
      <c r="CH136" s="387">
        <f t="shared" si="113"/>
        <v>0</v>
      </c>
      <c r="CI136" s="387">
        <f t="shared" si="114"/>
        <v>0</v>
      </c>
      <c r="CJ136" s="387">
        <f t="shared" si="127"/>
        <v>-422.45839999999998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0450-27</v>
      </c>
    </row>
    <row r="137" spans="1:92" ht="15.75" thickBot="1" x14ac:dyDescent="0.3">
      <c r="A137" s="376" t="s">
        <v>161</v>
      </c>
      <c r="B137" s="376" t="s">
        <v>162</v>
      </c>
      <c r="C137" s="376" t="s">
        <v>705</v>
      </c>
      <c r="D137" s="376" t="s">
        <v>668</v>
      </c>
      <c r="E137" s="376" t="s">
        <v>251</v>
      </c>
      <c r="F137" s="382" t="s">
        <v>654</v>
      </c>
      <c r="G137" s="376" t="s">
        <v>583</v>
      </c>
      <c r="H137" s="378"/>
      <c r="I137" s="378"/>
      <c r="J137" s="376" t="s">
        <v>186</v>
      </c>
      <c r="K137" s="376" t="s">
        <v>669</v>
      </c>
      <c r="L137" s="376" t="s">
        <v>170</v>
      </c>
      <c r="M137" s="376" t="s">
        <v>171</v>
      </c>
      <c r="N137" s="376" t="s">
        <v>172</v>
      </c>
      <c r="O137" s="379">
        <v>1</v>
      </c>
      <c r="P137" s="385">
        <v>1</v>
      </c>
      <c r="Q137" s="385">
        <v>1</v>
      </c>
      <c r="R137" s="380">
        <v>80</v>
      </c>
      <c r="S137" s="385">
        <v>1</v>
      </c>
      <c r="T137" s="380">
        <v>67425.77</v>
      </c>
      <c r="U137" s="380">
        <v>0</v>
      </c>
      <c r="V137" s="380">
        <v>25309.45</v>
      </c>
      <c r="W137" s="380">
        <v>69555.199999999997</v>
      </c>
      <c r="X137" s="380">
        <v>27297.81</v>
      </c>
      <c r="Y137" s="380">
        <v>69555.199999999997</v>
      </c>
      <c r="Z137" s="380">
        <v>26956.99</v>
      </c>
      <c r="AA137" s="376" t="s">
        <v>706</v>
      </c>
      <c r="AB137" s="376" t="s">
        <v>707</v>
      </c>
      <c r="AC137" s="376" t="s">
        <v>708</v>
      </c>
      <c r="AD137" s="376" t="s">
        <v>425</v>
      </c>
      <c r="AE137" s="376" t="s">
        <v>669</v>
      </c>
      <c r="AF137" s="376" t="s">
        <v>177</v>
      </c>
      <c r="AG137" s="376" t="s">
        <v>178</v>
      </c>
      <c r="AH137" s="381">
        <v>33.44</v>
      </c>
      <c r="AI137" s="381">
        <v>51155.6</v>
      </c>
      <c r="AJ137" s="376" t="s">
        <v>179</v>
      </c>
      <c r="AK137" s="376" t="s">
        <v>180</v>
      </c>
      <c r="AL137" s="376" t="s">
        <v>181</v>
      </c>
      <c r="AM137" s="376" t="s">
        <v>182</v>
      </c>
      <c r="AN137" s="376" t="s">
        <v>68</v>
      </c>
      <c r="AO137" s="379">
        <v>80</v>
      </c>
      <c r="AP137" s="385">
        <v>1</v>
      </c>
      <c r="AQ137" s="385">
        <v>1</v>
      </c>
      <c r="AR137" s="383" t="s">
        <v>183</v>
      </c>
      <c r="AS137" s="387">
        <f t="shared" si="115"/>
        <v>1</v>
      </c>
      <c r="AT137">
        <f t="shared" si="116"/>
        <v>1</v>
      </c>
      <c r="AU137" s="387">
        <f>IF(AT137=0,"",IF(AND(AT137=1,M137="F",SUMIF(C2:C206,C137,AS2:AS206)&lt;=1),SUMIF(C2:C206,C137,AS2:AS206),IF(AND(AT137=1,M137="F",SUMIF(C2:C206,C137,AS2:AS206)&gt;1),1,"")))</f>
        <v>1</v>
      </c>
      <c r="AV137" s="387" t="str">
        <f>IF(AT137=0,"",IF(AND(AT137=3,M137="F",SUMIF(C2:C206,C137,AS2:AS206)&lt;=1),SUMIF(C2:C206,C137,AS2:AS206),IF(AND(AT137=3,M137="F",SUMIF(C2:C206,C137,AS2:AS206)&gt;1),1,"")))</f>
        <v/>
      </c>
      <c r="AW137" s="387">
        <f>SUMIF(C2:C206,C137,O2:O206)</f>
        <v>1</v>
      </c>
      <c r="AX137" s="387">
        <f>IF(AND(M137="F",AS137&lt;&gt;0),SUMIF(C2:C206,C137,W2:W206),0)</f>
        <v>69555.199999999997</v>
      </c>
      <c r="AY137" s="387">
        <f t="shared" si="117"/>
        <v>69555.199999999997</v>
      </c>
      <c r="AZ137" s="387" t="str">
        <f t="shared" si="118"/>
        <v/>
      </c>
      <c r="BA137" s="387">
        <f t="shared" si="119"/>
        <v>0</v>
      </c>
      <c r="BB137" s="387">
        <f t="shared" si="88"/>
        <v>11650</v>
      </c>
      <c r="BC137" s="387">
        <f t="shared" si="89"/>
        <v>0</v>
      </c>
      <c r="BD137" s="387">
        <f t="shared" si="90"/>
        <v>4312.4223999999995</v>
      </c>
      <c r="BE137" s="387">
        <f t="shared" si="91"/>
        <v>1008.5504</v>
      </c>
      <c r="BF137" s="387">
        <f t="shared" si="92"/>
        <v>8304.8908800000008</v>
      </c>
      <c r="BG137" s="387">
        <f t="shared" si="93"/>
        <v>501.49299200000002</v>
      </c>
      <c r="BH137" s="387">
        <f t="shared" si="94"/>
        <v>340.82047999999998</v>
      </c>
      <c r="BI137" s="387">
        <f t="shared" si="95"/>
        <v>212.83891199999997</v>
      </c>
      <c r="BJ137" s="387">
        <f t="shared" si="96"/>
        <v>966.81727999999987</v>
      </c>
      <c r="BK137" s="387">
        <f t="shared" si="97"/>
        <v>0</v>
      </c>
      <c r="BL137" s="387">
        <f t="shared" si="120"/>
        <v>15647.833343999999</v>
      </c>
      <c r="BM137" s="387">
        <f t="shared" si="121"/>
        <v>0</v>
      </c>
      <c r="BN137" s="387">
        <f t="shared" si="98"/>
        <v>11650</v>
      </c>
      <c r="BO137" s="387">
        <f t="shared" si="99"/>
        <v>0</v>
      </c>
      <c r="BP137" s="387">
        <f t="shared" si="100"/>
        <v>4312.4223999999995</v>
      </c>
      <c r="BQ137" s="387">
        <f t="shared" si="101"/>
        <v>1008.5504</v>
      </c>
      <c r="BR137" s="387">
        <f t="shared" si="102"/>
        <v>8304.8908800000008</v>
      </c>
      <c r="BS137" s="387">
        <f t="shared" si="103"/>
        <v>501.49299200000002</v>
      </c>
      <c r="BT137" s="387">
        <f t="shared" si="104"/>
        <v>0</v>
      </c>
      <c r="BU137" s="387">
        <f t="shared" si="105"/>
        <v>212.83891199999997</v>
      </c>
      <c r="BV137" s="387">
        <f t="shared" si="106"/>
        <v>966.81727999999987</v>
      </c>
      <c r="BW137" s="387">
        <f t="shared" si="107"/>
        <v>0</v>
      </c>
      <c r="BX137" s="387">
        <f t="shared" si="122"/>
        <v>15307.012863999998</v>
      </c>
      <c r="BY137" s="387">
        <f t="shared" si="123"/>
        <v>0</v>
      </c>
      <c r="BZ137" s="387">
        <f t="shared" si="124"/>
        <v>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0</v>
      </c>
      <c r="CE137" s="387">
        <f t="shared" si="110"/>
        <v>0</v>
      </c>
      <c r="CF137" s="387">
        <f t="shared" si="111"/>
        <v>-340.82047999999998</v>
      </c>
      <c r="CG137" s="387">
        <f t="shared" si="112"/>
        <v>0</v>
      </c>
      <c r="CH137" s="387">
        <f t="shared" si="113"/>
        <v>0</v>
      </c>
      <c r="CI137" s="387">
        <f t="shared" si="114"/>
        <v>0</v>
      </c>
      <c r="CJ137" s="387">
        <f t="shared" si="127"/>
        <v>-340.82047999999998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0450-27</v>
      </c>
    </row>
    <row r="138" spans="1:92" ht="15.75" thickBot="1" x14ac:dyDescent="0.3">
      <c r="A138" s="376" t="s">
        <v>161</v>
      </c>
      <c r="B138" s="376" t="s">
        <v>162</v>
      </c>
      <c r="C138" s="376" t="s">
        <v>709</v>
      </c>
      <c r="D138" s="376" t="s">
        <v>688</v>
      </c>
      <c r="E138" s="376" t="s">
        <v>251</v>
      </c>
      <c r="F138" s="382" t="s">
        <v>654</v>
      </c>
      <c r="G138" s="376" t="s">
        <v>583</v>
      </c>
      <c r="H138" s="378"/>
      <c r="I138" s="378"/>
      <c r="J138" s="376" t="s">
        <v>186</v>
      </c>
      <c r="K138" s="376" t="s">
        <v>689</v>
      </c>
      <c r="L138" s="376" t="s">
        <v>526</v>
      </c>
      <c r="M138" s="376" t="s">
        <v>171</v>
      </c>
      <c r="N138" s="376" t="s">
        <v>172</v>
      </c>
      <c r="O138" s="379">
        <v>1</v>
      </c>
      <c r="P138" s="385">
        <v>1</v>
      </c>
      <c r="Q138" s="385">
        <v>1</v>
      </c>
      <c r="R138" s="380">
        <v>80</v>
      </c>
      <c r="S138" s="385">
        <v>1</v>
      </c>
      <c r="T138" s="380">
        <v>32095.21</v>
      </c>
      <c r="U138" s="380">
        <v>0</v>
      </c>
      <c r="V138" s="380">
        <v>18098.29</v>
      </c>
      <c r="W138" s="380">
        <v>33217.599999999999</v>
      </c>
      <c r="X138" s="380">
        <v>19122.93</v>
      </c>
      <c r="Y138" s="380">
        <v>33217.599999999999</v>
      </c>
      <c r="Z138" s="380">
        <v>18960.169999999998</v>
      </c>
      <c r="AA138" s="376" t="s">
        <v>710</v>
      </c>
      <c r="AB138" s="376" t="s">
        <v>711</v>
      </c>
      <c r="AC138" s="376" t="s">
        <v>712</v>
      </c>
      <c r="AD138" s="376" t="s">
        <v>378</v>
      </c>
      <c r="AE138" s="376" t="s">
        <v>689</v>
      </c>
      <c r="AF138" s="376" t="s">
        <v>529</v>
      </c>
      <c r="AG138" s="376" t="s">
        <v>178</v>
      </c>
      <c r="AH138" s="381">
        <v>15.97</v>
      </c>
      <c r="AI138" s="381">
        <v>13047.6</v>
      </c>
      <c r="AJ138" s="376" t="s">
        <v>179</v>
      </c>
      <c r="AK138" s="376" t="s">
        <v>180</v>
      </c>
      <c r="AL138" s="376" t="s">
        <v>181</v>
      </c>
      <c r="AM138" s="376" t="s">
        <v>182</v>
      </c>
      <c r="AN138" s="376" t="s">
        <v>68</v>
      </c>
      <c r="AO138" s="379">
        <v>80</v>
      </c>
      <c r="AP138" s="385">
        <v>1</v>
      </c>
      <c r="AQ138" s="385">
        <v>1</v>
      </c>
      <c r="AR138" s="383" t="s">
        <v>183</v>
      </c>
      <c r="AS138" s="387">
        <f t="shared" si="115"/>
        <v>1</v>
      </c>
      <c r="AT138">
        <f t="shared" si="116"/>
        <v>1</v>
      </c>
      <c r="AU138" s="387">
        <f>IF(AT138=0,"",IF(AND(AT138=1,M138="F",SUMIF(C2:C206,C138,AS2:AS206)&lt;=1),SUMIF(C2:C206,C138,AS2:AS206),IF(AND(AT138=1,M138="F",SUMIF(C2:C206,C138,AS2:AS206)&gt;1),1,"")))</f>
        <v>1</v>
      </c>
      <c r="AV138" s="387" t="str">
        <f>IF(AT138=0,"",IF(AND(AT138=3,M138="F",SUMIF(C2:C206,C138,AS2:AS206)&lt;=1),SUMIF(C2:C206,C138,AS2:AS206),IF(AND(AT138=3,M138="F",SUMIF(C2:C206,C138,AS2:AS206)&gt;1),1,"")))</f>
        <v/>
      </c>
      <c r="AW138" s="387">
        <f>SUMIF(C2:C206,C138,O2:O206)</f>
        <v>1</v>
      </c>
      <c r="AX138" s="387">
        <f>IF(AND(M138="F",AS138&lt;&gt;0),SUMIF(C2:C206,C138,W2:W206),0)</f>
        <v>33217.599999999999</v>
      </c>
      <c r="AY138" s="387">
        <f t="shared" si="117"/>
        <v>33217.599999999999</v>
      </c>
      <c r="AZ138" s="387" t="str">
        <f t="shared" si="118"/>
        <v/>
      </c>
      <c r="BA138" s="387">
        <f t="shared" si="119"/>
        <v>0</v>
      </c>
      <c r="BB138" s="387">
        <f t="shared" si="88"/>
        <v>11650</v>
      </c>
      <c r="BC138" s="387">
        <f t="shared" si="89"/>
        <v>0</v>
      </c>
      <c r="BD138" s="387">
        <f t="shared" si="90"/>
        <v>2059.4911999999999</v>
      </c>
      <c r="BE138" s="387">
        <f t="shared" si="91"/>
        <v>481.65519999999998</v>
      </c>
      <c r="BF138" s="387">
        <f t="shared" si="92"/>
        <v>3966.1814399999998</v>
      </c>
      <c r="BG138" s="387">
        <f t="shared" si="93"/>
        <v>239.498896</v>
      </c>
      <c r="BH138" s="387">
        <f t="shared" si="94"/>
        <v>162.76623999999998</v>
      </c>
      <c r="BI138" s="387">
        <f t="shared" si="95"/>
        <v>101.64585599999999</v>
      </c>
      <c r="BJ138" s="387">
        <f t="shared" si="96"/>
        <v>461.72463999999997</v>
      </c>
      <c r="BK138" s="387">
        <f t="shared" si="97"/>
        <v>0</v>
      </c>
      <c r="BL138" s="387">
        <f t="shared" si="120"/>
        <v>7472.9634720000004</v>
      </c>
      <c r="BM138" s="387">
        <f t="shared" si="121"/>
        <v>0</v>
      </c>
      <c r="BN138" s="387">
        <f t="shared" si="98"/>
        <v>11650</v>
      </c>
      <c r="BO138" s="387">
        <f t="shared" si="99"/>
        <v>0</v>
      </c>
      <c r="BP138" s="387">
        <f t="shared" si="100"/>
        <v>2059.4911999999999</v>
      </c>
      <c r="BQ138" s="387">
        <f t="shared" si="101"/>
        <v>481.65519999999998</v>
      </c>
      <c r="BR138" s="387">
        <f t="shared" si="102"/>
        <v>3966.1814399999998</v>
      </c>
      <c r="BS138" s="387">
        <f t="shared" si="103"/>
        <v>239.498896</v>
      </c>
      <c r="BT138" s="387">
        <f t="shared" si="104"/>
        <v>0</v>
      </c>
      <c r="BU138" s="387">
        <f t="shared" si="105"/>
        <v>101.64585599999999</v>
      </c>
      <c r="BV138" s="387">
        <f t="shared" si="106"/>
        <v>461.72463999999997</v>
      </c>
      <c r="BW138" s="387">
        <f t="shared" si="107"/>
        <v>0</v>
      </c>
      <c r="BX138" s="387">
        <f t="shared" si="122"/>
        <v>7310.1972320000004</v>
      </c>
      <c r="BY138" s="387">
        <f t="shared" si="123"/>
        <v>0</v>
      </c>
      <c r="BZ138" s="387">
        <f t="shared" si="124"/>
        <v>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0</v>
      </c>
      <c r="CE138" s="387">
        <f t="shared" si="110"/>
        <v>0</v>
      </c>
      <c r="CF138" s="387">
        <f t="shared" si="111"/>
        <v>-162.76623999999998</v>
      </c>
      <c r="CG138" s="387">
        <f t="shared" si="112"/>
        <v>0</v>
      </c>
      <c r="CH138" s="387">
        <f t="shared" si="113"/>
        <v>0</v>
      </c>
      <c r="CI138" s="387">
        <f t="shared" si="114"/>
        <v>0</v>
      </c>
      <c r="CJ138" s="387">
        <f t="shared" si="127"/>
        <v>-162.76623999999998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0450-27</v>
      </c>
    </row>
    <row r="139" spans="1:92" ht="15.75" thickBot="1" x14ac:dyDescent="0.3">
      <c r="A139" s="376" t="s">
        <v>161</v>
      </c>
      <c r="B139" s="376" t="s">
        <v>162</v>
      </c>
      <c r="C139" s="376" t="s">
        <v>713</v>
      </c>
      <c r="D139" s="376" t="s">
        <v>714</v>
      </c>
      <c r="E139" s="376" t="s">
        <v>251</v>
      </c>
      <c r="F139" s="382" t="s">
        <v>654</v>
      </c>
      <c r="G139" s="376" t="s">
        <v>583</v>
      </c>
      <c r="H139" s="378"/>
      <c r="I139" s="378"/>
      <c r="J139" s="376" t="s">
        <v>186</v>
      </c>
      <c r="K139" s="376" t="s">
        <v>715</v>
      </c>
      <c r="L139" s="376" t="s">
        <v>170</v>
      </c>
      <c r="M139" s="376" t="s">
        <v>207</v>
      </c>
      <c r="N139" s="376" t="s">
        <v>172</v>
      </c>
      <c r="O139" s="379">
        <v>0</v>
      </c>
      <c r="P139" s="385">
        <v>1</v>
      </c>
      <c r="Q139" s="385">
        <v>1</v>
      </c>
      <c r="R139" s="380">
        <v>80</v>
      </c>
      <c r="S139" s="385">
        <v>1</v>
      </c>
      <c r="T139" s="380">
        <v>50863.55</v>
      </c>
      <c r="U139" s="380">
        <v>0</v>
      </c>
      <c r="V139" s="380">
        <v>22139.51</v>
      </c>
      <c r="W139" s="380">
        <v>53476.800000000003</v>
      </c>
      <c r="X139" s="380">
        <v>23422.83</v>
      </c>
      <c r="Y139" s="380">
        <v>53476.800000000003</v>
      </c>
      <c r="Z139" s="380">
        <v>23155.45</v>
      </c>
      <c r="AA139" s="378"/>
      <c r="AB139" s="376" t="s">
        <v>45</v>
      </c>
      <c r="AC139" s="376" t="s">
        <v>45</v>
      </c>
      <c r="AD139" s="378"/>
      <c r="AE139" s="378"/>
      <c r="AF139" s="378"/>
      <c r="AG139" s="378"/>
      <c r="AH139" s="379">
        <v>0</v>
      </c>
      <c r="AI139" s="379">
        <v>0</v>
      </c>
      <c r="AJ139" s="378"/>
      <c r="AK139" s="378"/>
      <c r="AL139" s="376" t="s">
        <v>181</v>
      </c>
      <c r="AM139" s="378"/>
      <c r="AN139" s="378"/>
      <c r="AO139" s="379">
        <v>0</v>
      </c>
      <c r="AP139" s="385">
        <v>0</v>
      </c>
      <c r="AQ139" s="385">
        <v>0</v>
      </c>
      <c r="AR139" s="384"/>
      <c r="AS139" s="387">
        <f t="shared" si="115"/>
        <v>0</v>
      </c>
      <c r="AT139">
        <f t="shared" si="116"/>
        <v>0</v>
      </c>
      <c r="AU139" s="387" t="str">
        <f>IF(AT139=0,"",IF(AND(AT139=1,M139="F",SUMIF(C2:C206,C139,AS2:AS206)&lt;=1),SUMIF(C2:C206,C139,AS2:AS206),IF(AND(AT139=1,M139="F",SUMIF(C2:C206,C139,AS2:AS206)&gt;1),1,"")))</f>
        <v/>
      </c>
      <c r="AV139" s="387" t="str">
        <f>IF(AT139=0,"",IF(AND(AT139=3,M139="F",SUMIF(C2:C206,C139,AS2:AS206)&lt;=1),SUMIF(C2:C206,C139,AS2:AS206),IF(AND(AT139=3,M139="F",SUMIF(C2:C206,C139,AS2:AS206)&gt;1),1,"")))</f>
        <v/>
      </c>
      <c r="AW139" s="387">
        <f>SUMIF(C2:C206,C139,O2:O206)</f>
        <v>0</v>
      </c>
      <c r="AX139" s="387">
        <f>IF(AND(M139="F",AS139&lt;&gt;0),SUMIF(C2:C206,C139,W2:W206),0)</f>
        <v>0</v>
      </c>
      <c r="AY139" s="387" t="str">
        <f t="shared" si="117"/>
        <v/>
      </c>
      <c r="AZ139" s="387" t="str">
        <f t="shared" si="118"/>
        <v/>
      </c>
      <c r="BA139" s="387">
        <f t="shared" si="119"/>
        <v>0</v>
      </c>
      <c r="BB139" s="387">
        <f t="shared" si="88"/>
        <v>0</v>
      </c>
      <c r="BC139" s="387">
        <f t="shared" si="89"/>
        <v>0</v>
      </c>
      <c r="BD139" s="387">
        <f t="shared" si="90"/>
        <v>0</v>
      </c>
      <c r="BE139" s="387">
        <f t="shared" si="91"/>
        <v>0</v>
      </c>
      <c r="BF139" s="387">
        <f t="shared" si="92"/>
        <v>0</v>
      </c>
      <c r="BG139" s="387">
        <f t="shared" si="93"/>
        <v>0</v>
      </c>
      <c r="BH139" s="387">
        <f t="shared" si="94"/>
        <v>0</v>
      </c>
      <c r="BI139" s="387">
        <f t="shared" si="95"/>
        <v>0</v>
      </c>
      <c r="BJ139" s="387">
        <f t="shared" si="96"/>
        <v>0</v>
      </c>
      <c r="BK139" s="387">
        <f t="shared" si="97"/>
        <v>0</v>
      </c>
      <c r="BL139" s="387">
        <f t="shared" si="120"/>
        <v>0</v>
      </c>
      <c r="BM139" s="387">
        <f t="shared" si="121"/>
        <v>0</v>
      </c>
      <c r="BN139" s="387">
        <f t="shared" si="98"/>
        <v>0</v>
      </c>
      <c r="BO139" s="387">
        <f t="shared" si="99"/>
        <v>0</v>
      </c>
      <c r="BP139" s="387">
        <f t="shared" si="100"/>
        <v>0</v>
      </c>
      <c r="BQ139" s="387">
        <f t="shared" si="101"/>
        <v>0</v>
      </c>
      <c r="BR139" s="387">
        <f t="shared" si="102"/>
        <v>0</v>
      </c>
      <c r="BS139" s="387">
        <f t="shared" si="103"/>
        <v>0</v>
      </c>
      <c r="BT139" s="387">
        <f t="shared" si="104"/>
        <v>0</v>
      </c>
      <c r="BU139" s="387">
        <f t="shared" si="105"/>
        <v>0</v>
      </c>
      <c r="BV139" s="387">
        <f t="shared" si="106"/>
        <v>0</v>
      </c>
      <c r="BW139" s="387">
        <f t="shared" si="107"/>
        <v>0</v>
      </c>
      <c r="BX139" s="387">
        <f t="shared" si="122"/>
        <v>0</v>
      </c>
      <c r="BY139" s="387">
        <f t="shared" si="123"/>
        <v>0</v>
      </c>
      <c r="BZ139" s="387">
        <f t="shared" si="124"/>
        <v>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0</v>
      </c>
      <c r="CE139" s="387">
        <f t="shared" si="110"/>
        <v>0</v>
      </c>
      <c r="CF139" s="387">
        <f t="shared" si="111"/>
        <v>0</v>
      </c>
      <c r="CG139" s="387">
        <f t="shared" si="112"/>
        <v>0</v>
      </c>
      <c r="CH139" s="387">
        <f t="shared" si="113"/>
        <v>0</v>
      </c>
      <c r="CI139" s="387">
        <f t="shared" si="114"/>
        <v>0</v>
      </c>
      <c r="CJ139" s="387">
        <f t="shared" si="127"/>
        <v>0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0450-27</v>
      </c>
    </row>
    <row r="140" spans="1:92" ht="15.75" thickBot="1" x14ac:dyDescent="0.3">
      <c r="A140" s="376" t="s">
        <v>161</v>
      </c>
      <c r="B140" s="376" t="s">
        <v>162</v>
      </c>
      <c r="C140" s="376" t="s">
        <v>716</v>
      </c>
      <c r="D140" s="376" t="s">
        <v>668</v>
      </c>
      <c r="E140" s="376" t="s">
        <v>251</v>
      </c>
      <c r="F140" s="382" t="s">
        <v>654</v>
      </c>
      <c r="G140" s="376" t="s">
        <v>583</v>
      </c>
      <c r="H140" s="378"/>
      <c r="I140" s="378"/>
      <c r="J140" s="376" t="s">
        <v>186</v>
      </c>
      <c r="K140" s="376" t="s">
        <v>669</v>
      </c>
      <c r="L140" s="376" t="s">
        <v>170</v>
      </c>
      <c r="M140" s="376" t="s">
        <v>207</v>
      </c>
      <c r="N140" s="376" t="s">
        <v>172</v>
      </c>
      <c r="O140" s="379">
        <v>0</v>
      </c>
      <c r="P140" s="385">
        <v>1</v>
      </c>
      <c r="Q140" s="385">
        <v>1</v>
      </c>
      <c r="R140" s="380">
        <v>80</v>
      </c>
      <c r="S140" s="385">
        <v>1</v>
      </c>
      <c r="T140" s="380">
        <v>50270.400000000001</v>
      </c>
      <c r="U140" s="380">
        <v>0</v>
      </c>
      <c r="V140" s="380">
        <v>21439.9</v>
      </c>
      <c r="W140" s="380">
        <v>53476.800000000003</v>
      </c>
      <c r="X140" s="380">
        <v>23422.83</v>
      </c>
      <c r="Y140" s="380">
        <v>53476.800000000003</v>
      </c>
      <c r="Z140" s="380">
        <v>23155.45</v>
      </c>
      <c r="AA140" s="378"/>
      <c r="AB140" s="376" t="s">
        <v>45</v>
      </c>
      <c r="AC140" s="376" t="s">
        <v>45</v>
      </c>
      <c r="AD140" s="378"/>
      <c r="AE140" s="378"/>
      <c r="AF140" s="378"/>
      <c r="AG140" s="378"/>
      <c r="AH140" s="379">
        <v>0</v>
      </c>
      <c r="AI140" s="379">
        <v>0</v>
      </c>
      <c r="AJ140" s="378"/>
      <c r="AK140" s="378"/>
      <c r="AL140" s="376" t="s">
        <v>181</v>
      </c>
      <c r="AM140" s="378"/>
      <c r="AN140" s="378"/>
      <c r="AO140" s="379">
        <v>0</v>
      </c>
      <c r="AP140" s="385">
        <v>0</v>
      </c>
      <c r="AQ140" s="385">
        <v>0</v>
      </c>
      <c r="AR140" s="384"/>
      <c r="AS140" s="387">
        <f t="shared" si="115"/>
        <v>0</v>
      </c>
      <c r="AT140">
        <f t="shared" si="116"/>
        <v>0</v>
      </c>
      <c r="AU140" s="387" t="str">
        <f>IF(AT140=0,"",IF(AND(AT140=1,M140="F",SUMIF(C2:C206,C140,AS2:AS206)&lt;=1),SUMIF(C2:C206,C140,AS2:AS206),IF(AND(AT140=1,M140="F",SUMIF(C2:C206,C140,AS2:AS206)&gt;1),1,"")))</f>
        <v/>
      </c>
      <c r="AV140" s="387" t="str">
        <f>IF(AT140=0,"",IF(AND(AT140=3,M140="F",SUMIF(C2:C206,C140,AS2:AS206)&lt;=1),SUMIF(C2:C206,C140,AS2:AS206),IF(AND(AT140=3,M140="F",SUMIF(C2:C206,C140,AS2:AS206)&gt;1),1,"")))</f>
        <v/>
      </c>
      <c r="AW140" s="387">
        <f>SUMIF(C2:C206,C140,O2:O206)</f>
        <v>0</v>
      </c>
      <c r="AX140" s="387">
        <f>IF(AND(M140="F",AS140&lt;&gt;0),SUMIF(C2:C206,C140,W2:W206),0)</f>
        <v>0</v>
      </c>
      <c r="AY140" s="387" t="str">
        <f t="shared" si="117"/>
        <v/>
      </c>
      <c r="AZ140" s="387" t="str">
        <f t="shared" si="118"/>
        <v/>
      </c>
      <c r="BA140" s="387">
        <f t="shared" si="119"/>
        <v>0</v>
      </c>
      <c r="BB140" s="387">
        <f t="shared" si="88"/>
        <v>0</v>
      </c>
      <c r="BC140" s="387">
        <f t="shared" si="89"/>
        <v>0</v>
      </c>
      <c r="BD140" s="387">
        <f t="shared" si="90"/>
        <v>0</v>
      </c>
      <c r="BE140" s="387">
        <f t="shared" si="91"/>
        <v>0</v>
      </c>
      <c r="BF140" s="387">
        <f t="shared" si="92"/>
        <v>0</v>
      </c>
      <c r="BG140" s="387">
        <f t="shared" si="93"/>
        <v>0</v>
      </c>
      <c r="BH140" s="387">
        <f t="shared" si="94"/>
        <v>0</v>
      </c>
      <c r="BI140" s="387">
        <f t="shared" si="95"/>
        <v>0</v>
      </c>
      <c r="BJ140" s="387">
        <f t="shared" si="96"/>
        <v>0</v>
      </c>
      <c r="BK140" s="387">
        <f t="shared" si="97"/>
        <v>0</v>
      </c>
      <c r="BL140" s="387">
        <f t="shared" si="120"/>
        <v>0</v>
      </c>
      <c r="BM140" s="387">
        <f t="shared" si="121"/>
        <v>0</v>
      </c>
      <c r="BN140" s="387">
        <f t="shared" si="98"/>
        <v>0</v>
      </c>
      <c r="BO140" s="387">
        <f t="shared" si="99"/>
        <v>0</v>
      </c>
      <c r="BP140" s="387">
        <f t="shared" si="100"/>
        <v>0</v>
      </c>
      <c r="BQ140" s="387">
        <f t="shared" si="101"/>
        <v>0</v>
      </c>
      <c r="BR140" s="387">
        <f t="shared" si="102"/>
        <v>0</v>
      </c>
      <c r="BS140" s="387">
        <f t="shared" si="103"/>
        <v>0</v>
      </c>
      <c r="BT140" s="387">
        <f t="shared" si="104"/>
        <v>0</v>
      </c>
      <c r="BU140" s="387">
        <f t="shared" si="105"/>
        <v>0</v>
      </c>
      <c r="BV140" s="387">
        <f t="shared" si="106"/>
        <v>0</v>
      </c>
      <c r="BW140" s="387">
        <f t="shared" si="107"/>
        <v>0</v>
      </c>
      <c r="BX140" s="387">
        <f t="shared" si="122"/>
        <v>0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0</v>
      </c>
      <c r="CG140" s="387">
        <f t="shared" si="112"/>
        <v>0</v>
      </c>
      <c r="CH140" s="387">
        <f t="shared" si="113"/>
        <v>0</v>
      </c>
      <c r="CI140" s="387">
        <f t="shared" si="114"/>
        <v>0</v>
      </c>
      <c r="CJ140" s="387">
        <f t="shared" si="127"/>
        <v>0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0450-27</v>
      </c>
    </row>
    <row r="141" spans="1:92" ht="15.75" thickBot="1" x14ac:dyDescent="0.3">
      <c r="A141" s="376" t="s">
        <v>161</v>
      </c>
      <c r="B141" s="376" t="s">
        <v>162</v>
      </c>
      <c r="C141" s="376" t="s">
        <v>717</v>
      </c>
      <c r="D141" s="376" t="s">
        <v>668</v>
      </c>
      <c r="E141" s="376" t="s">
        <v>251</v>
      </c>
      <c r="F141" s="382" t="s">
        <v>654</v>
      </c>
      <c r="G141" s="376" t="s">
        <v>583</v>
      </c>
      <c r="H141" s="378"/>
      <c r="I141" s="378"/>
      <c r="J141" s="376" t="s">
        <v>186</v>
      </c>
      <c r="K141" s="376" t="s">
        <v>669</v>
      </c>
      <c r="L141" s="376" t="s">
        <v>170</v>
      </c>
      <c r="M141" s="376" t="s">
        <v>171</v>
      </c>
      <c r="N141" s="376" t="s">
        <v>172</v>
      </c>
      <c r="O141" s="379">
        <v>1</v>
      </c>
      <c r="P141" s="385">
        <v>1</v>
      </c>
      <c r="Q141" s="385">
        <v>1</v>
      </c>
      <c r="R141" s="380">
        <v>80</v>
      </c>
      <c r="S141" s="385">
        <v>1</v>
      </c>
      <c r="T141" s="380">
        <v>53212</v>
      </c>
      <c r="U141" s="380">
        <v>0</v>
      </c>
      <c r="V141" s="380">
        <v>22509.82</v>
      </c>
      <c r="W141" s="380">
        <v>55203.199999999997</v>
      </c>
      <c r="X141" s="380">
        <v>24069.03</v>
      </c>
      <c r="Y141" s="380">
        <v>55203.199999999997</v>
      </c>
      <c r="Z141" s="380">
        <v>23798.54</v>
      </c>
      <c r="AA141" s="376" t="s">
        <v>718</v>
      </c>
      <c r="AB141" s="376" t="s">
        <v>719</v>
      </c>
      <c r="AC141" s="376" t="s">
        <v>720</v>
      </c>
      <c r="AD141" s="376" t="s">
        <v>480</v>
      </c>
      <c r="AE141" s="376" t="s">
        <v>669</v>
      </c>
      <c r="AF141" s="376" t="s">
        <v>177</v>
      </c>
      <c r="AG141" s="376" t="s">
        <v>178</v>
      </c>
      <c r="AH141" s="381">
        <v>26.54</v>
      </c>
      <c r="AI141" s="379">
        <v>5368</v>
      </c>
      <c r="AJ141" s="376" t="s">
        <v>179</v>
      </c>
      <c r="AK141" s="376" t="s">
        <v>180</v>
      </c>
      <c r="AL141" s="376" t="s">
        <v>181</v>
      </c>
      <c r="AM141" s="376" t="s">
        <v>182</v>
      </c>
      <c r="AN141" s="376" t="s">
        <v>68</v>
      </c>
      <c r="AO141" s="379">
        <v>80</v>
      </c>
      <c r="AP141" s="385">
        <v>1</v>
      </c>
      <c r="AQ141" s="385">
        <v>1</v>
      </c>
      <c r="AR141" s="383" t="s">
        <v>183</v>
      </c>
      <c r="AS141" s="387">
        <f t="shared" si="115"/>
        <v>1</v>
      </c>
      <c r="AT141">
        <f t="shared" si="116"/>
        <v>1</v>
      </c>
      <c r="AU141" s="387">
        <f>IF(AT141=0,"",IF(AND(AT141=1,M141="F",SUMIF(C2:C206,C141,AS2:AS206)&lt;=1),SUMIF(C2:C206,C141,AS2:AS206),IF(AND(AT141=1,M141="F",SUMIF(C2:C206,C141,AS2:AS206)&gt;1),1,"")))</f>
        <v>1</v>
      </c>
      <c r="AV141" s="387" t="str">
        <f>IF(AT141=0,"",IF(AND(AT141=3,M141="F",SUMIF(C2:C206,C141,AS2:AS206)&lt;=1),SUMIF(C2:C206,C141,AS2:AS206),IF(AND(AT141=3,M141="F",SUMIF(C2:C206,C141,AS2:AS206)&gt;1),1,"")))</f>
        <v/>
      </c>
      <c r="AW141" s="387">
        <f>SUMIF(C2:C206,C141,O2:O206)</f>
        <v>1</v>
      </c>
      <c r="AX141" s="387">
        <f>IF(AND(M141="F",AS141&lt;&gt;0),SUMIF(C2:C206,C141,W2:W206),0)</f>
        <v>55203.199999999997</v>
      </c>
      <c r="AY141" s="387">
        <f t="shared" si="117"/>
        <v>55203.199999999997</v>
      </c>
      <c r="AZ141" s="387" t="str">
        <f t="shared" si="118"/>
        <v/>
      </c>
      <c r="BA141" s="387">
        <f t="shared" si="119"/>
        <v>0</v>
      </c>
      <c r="BB141" s="387">
        <f t="shared" si="88"/>
        <v>11650</v>
      </c>
      <c r="BC141" s="387">
        <f t="shared" si="89"/>
        <v>0</v>
      </c>
      <c r="BD141" s="387">
        <f t="shared" si="90"/>
        <v>3422.5983999999999</v>
      </c>
      <c r="BE141" s="387">
        <f t="shared" si="91"/>
        <v>800.44640000000004</v>
      </c>
      <c r="BF141" s="387">
        <f t="shared" si="92"/>
        <v>6591.2620800000004</v>
      </c>
      <c r="BG141" s="387">
        <f t="shared" si="93"/>
        <v>398.01507199999998</v>
      </c>
      <c r="BH141" s="387">
        <f t="shared" si="94"/>
        <v>270.49567999999999</v>
      </c>
      <c r="BI141" s="387">
        <f t="shared" si="95"/>
        <v>168.92179199999998</v>
      </c>
      <c r="BJ141" s="387">
        <f t="shared" si="96"/>
        <v>767.32447999999988</v>
      </c>
      <c r="BK141" s="387">
        <f t="shared" si="97"/>
        <v>0</v>
      </c>
      <c r="BL141" s="387">
        <f t="shared" si="120"/>
        <v>12419.063903999999</v>
      </c>
      <c r="BM141" s="387">
        <f t="shared" si="121"/>
        <v>0</v>
      </c>
      <c r="BN141" s="387">
        <f t="shared" si="98"/>
        <v>11650</v>
      </c>
      <c r="BO141" s="387">
        <f t="shared" si="99"/>
        <v>0</v>
      </c>
      <c r="BP141" s="387">
        <f t="shared" si="100"/>
        <v>3422.5983999999999</v>
      </c>
      <c r="BQ141" s="387">
        <f t="shared" si="101"/>
        <v>800.44640000000004</v>
      </c>
      <c r="BR141" s="387">
        <f t="shared" si="102"/>
        <v>6591.2620800000004</v>
      </c>
      <c r="BS141" s="387">
        <f t="shared" si="103"/>
        <v>398.01507199999998</v>
      </c>
      <c r="BT141" s="387">
        <f t="shared" si="104"/>
        <v>0</v>
      </c>
      <c r="BU141" s="387">
        <f t="shared" si="105"/>
        <v>168.92179199999998</v>
      </c>
      <c r="BV141" s="387">
        <f t="shared" si="106"/>
        <v>767.32447999999988</v>
      </c>
      <c r="BW141" s="387">
        <f t="shared" si="107"/>
        <v>0</v>
      </c>
      <c r="BX141" s="387">
        <f t="shared" si="122"/>
        <v>12148.568223999999</v>
      </c>
      <c r="BY141" s="387">
        <f t="shared" si="123"/>
        <v>0</v>
      </c>
      <c r="BZ141" s="387">
        <f t="shared" si="124"/>
        <v>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0</v>
      </c>
      <c r="CE141" s="387">
        <f t="shared" si="110"/>
        <v>0</v>
      </c>
      <c r="CF141" s="387">
        <f t="shared" si="111"/>
        <v>-270.49567999999999</v>
      </c>
      <c r="CG141" s="387">
        <f t="shared" si="112"/>
        <v>0</v>
      </c>
      <c r="CH141" s="387">
        <f t="shared" si="113"/>
        <v>0</v>
      </c>
      <c r="CI141" s="387">
        <f t="shared" si="114"/>
        <v>0</v>
      </c>
      <c r="CJ141" s="387">
        <f t="shared" si="127"/>
        <v>-270.49567999999999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0450-27</v>
      </c>
    </row>
    <row r="142" spans="1:92" ht="15.75" thickBot="1" x14ac:dyDescent="0.3">
      <c r="A142" s="376" t="s">
        <v>161</v>
      </c>
      <c r="B142" s="376" t="s">
        <v>162</v>
      </c>
      <c r="C142" s="376" t="s">
        <v>721</v>
      </c>
      <c r="D142" s="376" t="s">
        <v>668</v>
      </c>
      <c r="E142" s="376" t="s">
        <v>251</v>
      </c>
      <c r="F142" s="382" t="s">
        <v>654</v>
      </c>
      <c r="G142" s="376" t="s">
        <v>583</v>
      </c>
      <c r="H142" s="378"/>
      <c r="I142" s="378"/>
      <c r="J142" s="376" t="s">
        <v>186</v>
      </c>
      <c r="K142" s="376" t="s">
        <v>669</v>
      </c>
      <c r="L142" s="376" t="s">
        <v>170</v>
      </c>
      <c r="M142" s="376" t="s">
        <v>207</v>
      </c>
      <c r="N142" s="376" t="s">
        <v>172</v>
      </c>
      <c r="O142" s="379">
        <v>0</v>
      </c>
      <c r="P142" s="385">
        <v>1</v>
      </c>
      <c r="Q142" s="385">
        <v>1</v>
      </c>
      <c r="R142" s="380">
        <v>80</v>
      </c>
      <c r="S142" s="385">
        <v>1</v>
      </c>
      <c r="T142" s="380">
        <v>60265.05</v>
      </c>
      <c r="U142" s="380">
        <v>0</v>
      </c>
      <c r="V142" s="380">
        <v>23949.69</v>
      </c>
      <c r="W142" s="380">
        <v>53476.800000000003</v>
      </c>
      <c r="X142" s="380">
        <v>23422.83</v>
      </c>
      <c r="Y142" s="380">
        <v>53476.800000000003</v>
      </c>
      <c r="Z142" s="380">
        <v>23155.45</v>
      </c>
      <c r="AA142" s="378"/>
      <c r="AB142" s="376" t="s">
        <v>45</v>
      </c>
      <c r="AC142" s="376" t="s">
        <v>45</v>
      </c>
      <c r="AD142" s="378"/>
      <c r="AE142" s="378"/>
      <c r="AF142" s="378"/>
      <c r="AG142" s="378"/>
      <c r="AH142" s="379">
        <v>0</v>
      </c>
      <c r="AI142" s="379">
        <v>0</v>
      </c>
      <c r="AJ142" s="378"/>
      <c r="AK142" s="378"/>
      <c r="AL142" s="376" t="s">
        <v>181</v>
      </c>
      <c r="AM142" s="378"/>
      <c r="AN142" s="378"/>
      <c r="AO142" s="379">
        <v>0</v>
      </c>
      <c r="AP142" s="385">
        <v>0</v>
      </c>
      <c r="AQ142" s="385">
        <v>0</v>
      </c>
      <c r="AR142" s="384"/>
      <c r="AS142" s="387">
        <f t="shared" si="115"/>
        <v>0</v>
      </c>
      <c r="AT142">
        <f t="shared" si="116"/>
        <v>0</v>
      </c>
      <c r="AU142" s="387" t="str">
        <f>IF(AT142=0,"",IF(AND(AT142=1,M142="F",SUMIF(C2:C206,C142,AS2:AS206)&lt;=1),SUMIF(C2:C206,C142,AS2:AS206),IF(AND(AT142=1,M142="F",SUMIF(C2:C206,C142,AS2:AS206)&gt;1),1,"")))</f>
        <v/>
      </c>
      <c r="AV142" s="387" t="str">
        <f>IF(AT142=0,"",IF(AND(AT142=3,M142="F",SUMIF(C2:C206,C142,AS2:AS206)&lt;=1),SUMIF(C2:C206,C142,AS2:AS206),IF(AND(AT142=3,M142="F",SUMIF(C2:C206,C142,AS2:AS206)&gt;1),1,"")))</f>
        <v/>
      </c>
      <c r="AW142" s="387">
        <f>SUMIF(C2:C206,C142,O2:O206)</f>
        <v>0</v>
      </c>
      <c r="AX142" s="387">
        <f>IF(AND(M142="F",AS142&lt;&gt;0),SUMIF(C2:C206,C142,W2:W206),0)</f>
        <v>0</v>
      </c>
      <c r="AY142" s="387" t="str">
        <f t="shared" si="117"/>
        <v/>
      </c>
      <c r="AZ142" s="387" t="str">
        <f t="shared" si="118"/>
        <v/>
      </c>
      <c r="BA142" s="387">
        <f t="shared" si="119"/>
        <v>0</v>
      </c>
      <c r="BB142" s="387">
        <f t="shared" si="88"/>
        <v>0</v>
      </c>
      <c r="BC142" s="387">
        <f t="shared" si="89"/>
        <v>0</v>
      </c>
      <c r="BD142" s="387">
        <f t="shared" si="90"/>
        <v>0</v>
      </c>
      <c r="BE142" s="387">
        <f t="shared" si="91"/>
        <v>0</v>
      </c>
      <c r="BF142" s="387">
        <f t="shared" si="92"/>
        <v>0</v>
      </c>
      <c r="BG142" s="387">
        <f t="shared" si="93"/>
        <v>0</v>
      </c>
      <c r="BH142" s="387">
        <f t="shared" si="94"/>
        <v>0</v>
      </c>
      <c r="BI142" s="387">
        <f t="shared" si="95"/>
        <v>0</v>
      </c>
      <c r="BJ142" s="387">
        <f t="shared" si="96"/>
        <v>0</v>
      </c>
      <c r="BK142" s="387">
        <f t="shared" si="97"/>
        <v>0</v>
      </c>
      <c r="BL142" s="387">
        <f t="shared" si="120"/>
        <v>0</v>
      </c>
      <c r="BM142" s="387">
        <f t="shared" si="121"/>
        <v>0</v>
      </c>
      <c r="BN142" s="387">
        <f t="shared" si="98"/>
        <v>0</v>
      </c>
      <c r="BO142" s="387">
        <f t="shared" si="99"/>
        <v>0</v>
      </c>
      <c r="BP142" s="387">
        <f t="shared" si="100"/>
        <v>0</v>
      </c>
      <c r="BQ142" s="387">
        <f t="shared" si="101"/>
        <v>0</v>
      </c>
      <c r="BR142" s="387">
        <f t="shared" si="102"/>
        <v>0</v>
      </c>
      <c r="BS142" s="387">
        <f t="shared" si="103"/>
        <v>0</v>
      </c>
      <c r="BT142" s="387">
        <f t="shared" si="104"/>
        <v>0</v>
      </c>
      <c r="BU142" s="387">
        <f t="shared" si="105"/>
        <v>0</v>
      </c>
      <c r="BV142" s="387">
        <f t="shared" si="106"/>
        <v>0</v>
      </c>
      <c r="BW142" s="387">
        <f t="shared" si="107"/>
        <v>0</v>
      </c>
      <c r="BX142" s="387">
        <f t="shared" si="122"/>
        <v>0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0</v>
      </c>
      <c r="CG142" s="387">
        <f t="shared" si="112"/>
        <v>0</v>
      </c>
      <c r="CH142" s="387">
        <f t="shared" si="113"/>
        <v>0</v>
      </c>
      <c r="CI142" s="387">
        <f t="shared" si="114"/>
        <v>0</v>
      </c>
      <c r="CJ142" s="387">
        <f t="shared" si="127"/>
        <v>0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0450-27</v>
      </c>
    </row>
    <row r="143" spans="1:92" ht="15.75" thickBot="1" x14ac:dyDescent="0.3">
      <c r="A143" s="376" t="s">
        <v>161</v>
      </c>
      <c r="B143" s="376" t="s">
        <v>162</v>
      </c>
      <c r="C143" s="376" t="s">
        <v>165</v>
      </c>
      <c r="D143" s="376" t="s">
        <v>722</v>
      </c>
      <c r="E143" s="376" t="s">
        <v>251</v>
      </c>
      <c r="F143" s="382" t="s">
        <v>654</v>
      </c>
      <c r="G143" s="376" t="s">
        <v>583</v>
      </c>
      <c r="H143" s="378"/>
      <c r="I143" s="378"/>
      <c r="J143" s="376" t="s">
        <v>186</v>
      </c>
      <c r="K143" s="376" t="s">
        <v>723</v>
      </c>
      <c r="L143" s="376" t="s">
        <v>166</v>
      </c>
      <c r="M143" s="376" t="s">
        <v>171</v>
      </c>
      <c r="N143" s="376" t="s">
        <v>198</v>
      </c>
      <c r="O143" s="379">
        <v>1</v>
      </c>
      <c r="P143" s="385">
        <v>1</v>
      </c>
      <c r="Q143" s="385">
        <v>1</v>
      </c>
      <c r="R143" s="380">
        <v>80</v>
      </c>
      <c r="S143" s="385">
        <v>1</v>
      </c>
      <c r="T143" s="380">
        <v>81844.009999999995</v>
      </c>
      <c r="U143" s="380">
        <v>0</v>
      </c>
      <c r="V143" s="380">
        <v>26210.78</v>
      </c>
      <c r="W143" s="380">
        <v>100048</v>
      </c>
      <c r="X143" s="380">
        <v>33851.620000000003</v>
      </c>
      <c r="Y143" s="380">
        <v>100048</v>
      </c>
      <c r="Z143" s="380">
        <v>33361.39</v>
      </c>
      <c r="AA143" s="376" t="s">
        <v>724</v>
      </c>
      <c r="AB143" s="376" t="s">
        <v>725</v>
      </c>
      <c r="AC143" s="376" t="s">
        <v>726</v>
      </c>
      <c r="AD143" s="376" t="s">
        <v>279</v>
      </c>
      <c r="AE143" s="376" t="s">
        <v>723</v>
      </c>
      <c r="AF143" s="376" t="s">
        <v>203</v>
      </c>
      <c r="AG143" s="376" t="s">
        <v>178</v>
      </c>
      <c r="AH143" s="381">
        <v>48.1</v>
      </c>
      <c r="AI143" s="381">
        <v>17183.3</v>
      </c>
      <c r="AJ143" s="376" t="s">
        <v>179</v>
      </c>
      <c r="AK143" s="376" t="s">
        <v>180</v>
      </c>
      <c r="AL143" s="376" t="s">
        <v>181</v>
      </c>
      <c r="AM143" s="376" t="s">
        <v>182</v>
      </c>
      <c r="AN143" s="376" t="s">
        <v>68</v>
      </c>
      <c r="AO143" s="379">
        <v>80</v>
      </c>
      <c r="AP143" s="385">
        <v>1</v>
      </c>
      <c r="AQ143" s="385">
        <v>1</v>
      </c>
      <c r="AR143" s="383" t="s">
        <v>183</v>
      </c>
      <c r="AS143" s="387">
        <f t="shared" si="115"/>
        <v>1</v>
      </c>
      <c r="AT143">
        <f t="shared" si="116"/>
        <v>1</v>
      </c>
      <c r="AU143" s="387">
        <f>IF(AT143=0,"",IF(AND(AT143=1,M143="F",SUMIF(C2:C206,C143,AS2:AS206)&lt;=1),SUMIF(C2:C206,C143,AS2:AS206),IF(AND(AT143=1,M143="F",SUMIF(C2:C206,C143,AS2:AS206)&gt;1),1,"")))</f>
        <v>1</v>
      </c>
      <c r="AV143" s="387" t="str">
        <f>IF(AT143=0,"",IF(AND(AT143=3,M143="F",SUMIF(C2:C206,C143,AS2:AS206)&lt;=1),SUMIF(C2:C206,C143,AS2:AS206),IF(AND(AT143=3,M143="F",SUMIF(C2:C206,C143,AS2:AS206)&gt;1),1,"")))</f>
        <v/>
      </c>
      <c r="AW143" s="387">
        <f>SUMIF(C2:C206,C143,O2:O206)</f>
        <v>1</v>
      </c>
      <c r="AX143" s="387">
        <f>IF(AND(M143="F",AS143&lt;&gt;0),SUMIF(C2:C206,C143,W2:W206),0)</f>
        <v>100048</v>
      </c>
      <c r="AY143" s="387">
        <f t="shared" si="117"/>
        <v>100048</v>
      </c>
      <c r="AZ143" s="387" t="str">
        <f t="shared" si="118"/>
        <v/>
      </c>
      <c r="BA143" s="387">
        <f t="shared" si="119"/>
        <v>0</v>
      </c>
      <c r="BB143" s="387">
        <f t="shared" si="88"/>
        <v>11650</v>
      </c>
      <c r="BC143" s="387">
        <f t="shared" si="89"/>
        <v>0</v>
      </c>
      <c r="BD143" s="387">
        <f t="shared" si="90"/>
        <v>6202.9759999999997</v>
      </c>
      <c r="BE143" s="387">
        <f t="shared" si="91"/>
        <v>1450.6960000000001</v>
      </c>
      <c r="BF143" s="387">
        <f t="shared" si="92"/>
        <v>11945.7312</v>
      </c>
      <c r="BG143" s="387">
        <f t="shared" si="93"/>
        <v>721.34608000000003</v>
      </c>
      <c r="BH143" s="387">
        <f t="shared" si="94"/>
        <v>490.23519999999996</v>
      </c>
      <c r="BI143" s="387">
        <f t="shared" si="95"/>
        <v>0</v>
      </c>
      <c r="BJ143" s="387">
        <f t="shared" si="96"/>
        <v>1390.6671999999999</v>
      </c>
      <c r="BK143" s="387">
        <f t="shared" si="97"/>
        <v>0</v>
      </c>
      <c r="BL143" s="387">
        <f t="shared" si="120"/>
        <v>22201.651679999999</v>
      </c>
      <c r="BM143" s="387">
        <f t="shared" si="121"/>
        <v>0</v>
      </c>
      <c r="BN143" s="387">
        <f t="shared" si="98"/>
        <v>11650</v>
      </c>
      <c r="BO143" s="387">
        <f t="shared" si="99"/>
        <v>0</v>
      </c>
      <c r="BP143" s="387">
        <f t="shared" si="100"/>
        <v>6202.9759999999997</v>
      </c>
      <c r="BQ143" s="387">
        <f t="shared" si="101"/>
        <v>1450.6960000000001</v>
      </c>
      <c r="BR143" s="387">
        <f t="shared" si="102"/>
        <v>11945.7312</v>
      </c>
      <c r="BS143" s="387">
        <f t="shared" si="103"/>
        <v>721.34608000000003</v>
      </c>
      <c r="BT143" s="387">
        <f t="shared" si="104"/>
        <v>0</v>
      </c>
      <c r="BU143" s="387">
        <f t="shared" si="105"/>
        <v>0</v>
      </c>
      <c r="BV143" s="387">
        <f t="shared" si="106"/>
        <v>1390.6671999999999</v>
      </c>
      <c r="BW143" s="387">
        <f t="shared" si="107"/>
        <v>0</v>
      </c>
      <c r="BX143" s="387">
        <f t="shared" si="122"/>
        <v>21711.41648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-490.23519999999996</v>
      </c>
      <c r="CG143" s="387">
        <f t="shared" si="112"/>
        <v>0</v>
      </c>
      <c r="CH143" s="387">
        <f t="shared" si="113"/>
        <v>0</v>
      </c>
      <c r="CI143" s="387">
        <f t="shared" si="114"/>
        <v>0</v>
      </c>
      <c r="CJ143" s="387">
        <f t="shared" si="127"/>
        <v>-490.23519999999996</v>
      </c>
      <c r="CK143" s="387" t="str">
        <f t="shared" si="128"/>
        <v/>
      </c>
      <c r="CL143" s="387" t="str">
        <f t="shared" si="129"/>
        <v/>
      </c>
      <c r="CM143" s="387" t="str">
        <f t="shared" si="130"/>
        <v/>
      </c>
      <c r="CN143" s="387" t="str">
        <f t="shared" si="131"/>
        <v>0450-27</v>
      </c>
    </row>
    <row r="144" spans="1:92" ht="15.75" thickBot="1" x14ac:dyDescent="0.3">
      <c r="A144" s="376" t="s">
        <v>161</v>
      </c>
      <c r="B144" s="376" t="s">
        <v>162</v>
      </c>
      <c r="C144" s="376" t="s">
        <v>727</v>
      </c>
      <c r="D144" s="376" t="s">
        <v>205</v>
      </c>
      <c r="E144" s="376" t="s">
        <v>251</v>
      </c>
      <c r="F144" s="382" t="s">
        <v>728</v>
      </c>
      <c r="G144" s="376" t="s">
        <v>583</v>
      </c>
      <c r="H144" s="378"/>
      <c r="I144" s="378"/>
      <c r="J144" s="376" t="s">
        <v>186</v>
      </c>
      <c r="K144" s="376" t="s">
        <v>206</v>
      </c>
      <c r="L144" s="376" t="s">
        <v>166</v>
      </c>
      <c r="M144" s="376" t="s">
        <v>207</v>
      </c>
      <c r="N144" s="376" t="s">
        <v>208</v>
      </c>
      <c r="O144" s="379">
        <v>0</v>
      </c>
      <c r="P144" s="385">
        <v>1</v>
      </c>
      <c r="Q144" s="385">
        <v>0</v>
      </c>
      <c r="R144" s="380">
        <v>0</v>
      </c>
      <c r="S144" s="385">
        <v>0</v>
      </c>
      <c r="T144" s="380">
        <v>0</v>
      </c>
      <c r="U144" s="380">
        <v>0</v>
      </c>
      <c r="V144" s="380">
        <v>0</v>
      </c>
      <c r="W144" s="380">
        <v>0</v>
      </c>
      <c r="X144" s="380">
        <v>0</v>
      </c>
      <c r="Y144" s="380">
        <v>0</v>
      </c>
      <c r="Z144" s="380">
        <v>0</v>
      </c>
      <c r="AA144" s="378"/>
      <c r="AB144" s="376" t="s">
        <v>45</v>
      </c>
      <c r="AC144" s="376" t="s">
        <v>45</v>
      </c>
      <c r="AD144" s="378"/>
      <c r="AE144" s="378"/>
      <c r="AF144" s="378"/>
      <c r="AG144" s="378"/>
      <c r="AH144" s="379">
        <v>0</v>
      </c>
      <c r="AI144" s="379">
        <v>0</v>
      </c>
      <c r="AJ144" s="378"/>
      <c r="AK144" s="378"/>
      <c r="AL144" s="376" t="s">
        <v>181</v>
      </c>
      <c r="AM144" s="378"/>
      <c r="AN144" s="378"/>
      <c r="AO144" s="379">
        <v>0</v>
      </c>
      <c r="AP144" s="385">
        <v>0</v>
      </c>
      <c r="AQ144" s="385">
        <v>0</v>
      </c>
      <c r="AR144" s="384"/>
      <c r="AS144" s="387">
        <f t="shared" si="115"/>
        <v>0</v>
      </c>
      <c r="AT144">
        <f t="shared" si="116"/>
        <v>0</v>
      </c>
      <c r="AU144" s="387" t="str">
        <f>IF(AT144=0,"",IF(AND(AT144=1,M144="F",SUMIF(C2:C206,C144,AS2:AS206)&lt;=1),SUMIF(C2:C206,C144,AS2:AS206),IF(AND(AT144=1,M144="F",SUMIF(C2:C206,C144,AS2:AS206)&gt;1),1,"")))</f>
        <v/>
      </c>
      <c r="AV144" s="387" t="str">
        <f>IF(AT144=0,"",IF(AND(AT144=3,M144="F",SUMIF(C2:C206,C144,AS2:AS206)&lt;=1),SUMIF(C2:C206,C144,AS2:AS206),IF(AND(AT144=3,M144="F",SUMIF(C2:C206,C144,AS2:AS206)&gt;1),1,"")))</f>
        <v/>
      </c>
      <c r="AW144" s="387">
        <f>SUMIF(C2:C206,C144,O2:O206)</f>
        <v>0</v>
      </c>
      <c r="AX144" s="387">
        <f>IF(AND(M144="F",AS144&lt;&gt;0),SUMIF(C2:C206,C144,W2:W206),0)</f>
        <v>0</v>
      </c>
      <c r="AY144" s="387" t="str">
        <f t="shared" si="117"/>
        <v/>
      </c>
      <c r="AZ144" s="387" t="str">
        <f t="shared" si="118"/>
        <v/>
      </c>
      <c r="BA144" s="387">
        <f t="shared" si="119"/>
        <v>0</v>
      </c>
      <c r="BB144" s="387">
        <f t="shared" si="88"/>
        <v>0</v>
      </c>
      <c r="BC144" s="387">
        <f t="shared" si="89"/>
        <v>0</v>
      </c>
      <c r="BD144" s="387">
        <f t="shared" si="90"/>
        <v>0</v>
      </c>
      <c r="BE144" s="387">
        <f t="shared" si="91"/>
        <v>0</v>
      </c>
      <c r="BF144" s="387">
        <f t="shared" si="92"/>
        <v>0</v>
      </c>
      <c r="BG144" s="387">
        <f t="shared" si="93"/>
        <v>0</v>
      </c>
      <c r="BH144" s="387">
        <f t="shared" si="94"/>
        <v>0</v>
      </c>
      <c r="BI144" s="387">
        <f t="shared" si="95"/>
        <v>0</v>
      </c>
      <c r="BJ144" s="387">
        <f t="shared" si="96"/>
        <v>0</v>
      </c>
      <c r="BK144" s="387">
        <f t="shared" si="97"/>
        <v>0</v>
      </c>
      <c r="BL144" s="387">
        <f t="shared" si="120"/>
        <v>0</v>
      </c>
      <c r="BM144" s="387">
        <f t="shared" si="121"/>
        <v>0</v>
      </c>
      <c r="BN144" s="387">
        <f t="shared" si="98"/>
        <v>0</v>
      </c>
      <c r="BO144" s="387">
        <f t="shared" si="99"/>
        <v>0</v>
      </c>
      <c r="BP144" s="387">
        <f t="shared" si="100"/>
        <v>0</v>
      </c>
      <c r="BQ144" s="387">
        <f t="shared" si="101"/>
        <v>0</v>
      </c>
      <c r="BR144" s="387">
        <f t="shared" si="102"/>
        <v>0</v>
      </c>
      <c r="BS144" s="387">
        <f t="shared" si="103"/>
        <v>0</v>
      </c>
      <c r="BT144" s="387">
        <f t="shared" si="104"/>
        <v>0</v>
      </c>
      <c r="BU144" s="387">
        <f t="shared" si="105"/>
        <v>0</v>
      </c>
      <c r="BV144" s="387">
        <f t="shared" si="106"/>
        <v>0</v>
      </c>
      <c r="BW144" s="387">
        <f t="shared" si="107"/>
        <v>0</v>
      </c>
      <c r="BX144" s="387">
        <f t="shared" si="122"/>
        <v>0</v>
      </c>
      <c r="BY144" s="387">
        <f t="shared" si="123"/>
        <v>0</v>
      </c>
      <c r="BZ144" s="387">
        <f t="shared" si="124"/>
        <v>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0</v>
      </c>
      <c r="CE144" s="387">
        <f t="shared" si="110"/>
        <v>0</v>
      </c>
      <c r="CF144" s="387">
        <f t="shared" si="111"/>
        <v>0</v>
      </c>
      <c r="CG144" s="387">
        <f t="shared" si="112"/>
        <v>0</v>
      </c>
      <c r="CH144" s="387">
        <f t="shared" si="113"/>
        <v>0</v>
      </c>
      <c r="CI144" s="387">
        <f t="shared" si="114"/>
        <v>0</v>
      </c>
      <c r="CJ144" s="387">
        <f t="shared" si="127"/>
        <v>0</v>
      </c>
      <c r="CK144" s="387" t="str">
        <f t="shared" si="128"/>
        <v/>
      </c>
      <c r="CL144" s="387">
        <f t="shared" si="129"/>
        <v>0</v>
      </c>
      <c r="CM144" s="387">
        <f t="shared" si="130"/>
        <v>0</v>
      </c>
      <c r="CN144" s="387" t="str">
        <f t="shared" si="131"/>
        <v>0450-51</v>
      </c>
    </row>
    <row r="145" spans="1:92" ht="15.75" thickBot="1" x14ac:dyDescent="0.3">
      <c r="A145" s="376" t="s">
        <v>161</v>
      </c>
      <c r="B145" s="376" t="s">
        <v>162</v>
      </c>
      <c r="C145" s="376" t="s">
        <v>642</v>
      </c>
      <c r="D145" s="376" t="s">
        <v>643</v>
      </c>
      <c r="E145" s="376" t="s">
        <v>251</v>
      </c>
      <c r="F145" s="382" t="s">
        <v>728</v>
      </c>
      <c r="G145" s="376" t="s">
        <v>583</v>
      </c>
      <c r="H145" s="378"/>
      <c r="I145" s="378"/>
      <c r="J145" s="376" t="s">
        <v>242</v>
      </c>
      <c r="K145" s="376" t="s">
        <v>644</v>
      </c>
      <c r="L145" s="376" t="s">
        <v>526</v>
      </c>
      <c r="M145" s="376" t="s">
        <v>171</v>
      </c>
      <c r="N145" s="376" t="s">
        <v>172</v>
      </c>
      <c r="O145" s="379">
        <v>1</v>
      </c>
      <c r="P145" s="385">
        <v>0.22</v>
      </c>
      <c r="Q145" s="385">
        <v>0.22</v>
      </c>
      <c r="R145" s="380">
        <v>80</v>
      </c>
      <c r="S145" s="385">
        <v>0.22</v>
      </c>
      <c r="T145" s="380">
        <v>7943.82</v>
      </c>
      <c r="U145" s="380">
        <v>0</v>
      </c>
      <c r="V145" s="380">
        <v>4581.03</v>
      </c>
      <c r="W145" s="380">
        <v>8177.31</v>
      </c>
      <c r="X145" s="380">
        <v>4402.6400000000003</v>
      </c>
      <c r="Y145" s="380">
        <v>8177.31</v>
      </c>
      <c r="Z145" s="380">
        <v>4362.57</v>
      </c>
      <c r="AA145" s="376" t="s">
        <v>645</v>
      </c>
      <c r="AB145" s="376" t="s">
        <v>646</v>
      </c>
      <c r="AC145" s="376" t="s">
        <v>647</v>
      </c>
      <c r="AD145" s="376" t="s">
        <v>500</v>
      </c>
      <c r="AE145" s="376" t="s">
        <v>644</v>
      </c>
      <c r="AF145" s="376" t="s">
        <v>529</v>
      </c>
      <c r="AG145" s="376" t="s">
        <v>178</v>
      </c>
      <c r="AH145" s="381">
        <v>17.87</v>
      </c>
      <c r="AI145" s="381">
        <v>31068.7</v>
      </c>
      <c r="AJ145" s="376" t="s">
        <v>179</v>
      </c>
      <c r="AK145" s="376" t="s">
        <v>180</v>
      </c>
      <c r="AL145" s="376" t="s">
        <v>181</v>
      </c>
      <c r="AM145" s="376" t="s">
        <v>182</v>
      </c>
      <c r="AN145" s="376" t="s">
        <v>68</v>
      </c>
      <c r="AO145" s="379">
        <v>80</v>
      </c>
      <c r="AP145" s="385">
        <v>1</v>
      </c>
      <c r="AQ145" s="385">
        <v>0.22</v>
      </c>
      <c r="AR145" s="383" t="s">
        <v>183</v>
      </c>
      <c r="AS145" s="387">
        <f t="shared" si="115"/>
        <v>0.22</v>
      </c>
      <c r="AT145">
        <f t="shared" si="116"/>
        <v>1</v>
      </c>
      <c r="AU145" s="387">
        <f>IF(AT145=0,"",IF(AND(AT145=1,M145="F",SUMIF(C2:C206,C145,AS2:AS206)&lt;=1),SUMIF(C2:C206,C145,AS2:AS206),IF(AND(AT145=1,M145="F",SUMIF(C2:C206,C145,AS2:AS206)&gt;1),1,"")))</f>
        <v>1</v>
      </c>
      <c r="AV145" s="387" t="str">
        <f>IF(AT145=0,"",IF(AND(AT145=3,M145="F",SUMIF(C2:C206,C145,AS2:AS206)&lt;=1),SUMIF(C2:C206,C145,AS2:AS206),IF(AND(AT145=3,M145="F",SUMIF(C2:C206,C145,AS2:AS206)&gt;1),1,"")))</f>
        <v/>
      </c>
      <c r="AW145" s="387">
        <f>SUMIF(C2:C206,C145,O2:O206)</f>
        <v>2</v>
      </c>
      <c r="AX145" s="387">
        <f>IF(AND(M145="F",AS145&lt;&gt;0),SUMIF(C2:C206,C145,W2:W206),0)</f>
        <v>37169.589999999997</v>
      </c>
      <c r="AY145" s="387">
        <f t="shared" si="117"/>
        <v>8177.31</v>
      </c>
      <c r="AZ145" s="387" t="str">
        <f t="shared" si="118"/>
        <v/>
      </c>
      <c r="BA145" s="387">
        <f t="shared" si="119"/>
        <v>0</v>
      </c>
      <c r="BB145" s="387">
        <f t="shared" si="88"/>
        <v>2563</v>
      </c>
      <c r="BC145" s="387">
        <f t="shared" si="89"/>
        <v>0</v>
      </c>
      <c r="BD145" s="387">
        <f t="shared" si="90"/>
        <v>506.99322000000001</v>
      </c>
      <c r="BE145" s="387">
        <f t="shared" si="91"/>
        <v>118.57099500000001</v>
      </c>
      <c r="BF145" s="387">
        <f t="shared" si="92"/>
        <v>976.37081400000011</v>
      </c>
      <c r="BG145" s="387">
        <f t="shared" si="93"/>
        <v>58.958405100000007</v>
      </c>
      <c r="BH145" s="387">
        <f t="shared" si="94"/>
        <v>40.068818999999998</v>
      </c>
      <c r="BI145" s="387">
        <f t="shared" si="95"/>
        <v>25.0225686</v>
      </c>
      <c r="BJ145" s="387">
        <f t="shared" si="96"/>
        <v>113.664609</v>
      </c>
      <c r="BK145" s="387">
        <f t="shared" si="97"/>
        <v>0</v>
      </c>
      <c r="BL145" s="387">
        <f t="shared" si="120"/>
        <v>1839.6494307000003</v>
      </c>
      <c r="BM145" s="387">
        <f t="shared" si="121"/>
        <v>0</v>
      </c>
      <c r="BN145" s="387">
        <f t="shared" si="98"/>
        <v>2563</v>
      </c>
      <c r="BO145" s="387">
        <f t="shared" si="99"/>
        <v>0</v>
      </c>
      <c r="BP145" s="387">
        <f t="shared" si="100"/>
        <v>506.99322000000001</v>
      </c>
      <c r="BQ145" s="387">
        <f t="shared" si="101"/>
        <v>118.57099500000001</v>
      </c>
      <c r="BR145" s="387">
        <f t="shared" si="102"/>
        <v>976.37081400000011</v>
      </c>
      <c r="BS145" s="387">
        <f t="shared" si="103"/>
        <v>58.958405100000007</v>
      </c>
      <c r="BT145" s="387">
        <f t="shared" si="104"/>
        <v>0</v>
      </c>
      <c r="BU145" s="387">
        <f t="shared" si="105"/>
        <v>25.0225686</v>
      </c>
      <c r="BV145" s="387">
        <f t="shared" si="106"/>
        <v>113.664609</v>
      </c>
      <c r="BW145" s="387">
        <f t="shared" si="107"/>
        <v>0</v>
      </c>
      <c r="BX145" s="387">
        <f t="shared" si="122"/>
        <v>1799.5806117000002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-40.068818999999998</v>
      </c>
      <c r="CG145" s="387">
        <f t="shared" si="112"/>
        <v>0</v>
      </c>
      <c r="CH145" s="387">
        <f t="shared" si="113"/>
        <v>0</v>
      </c>
      <c r="CI145" s="387">
        <f t="shared" si="114"/>
        <v>0</v>
      </c>
      <c r="CJ145" s="387">
        <f t="shared" si="127"/>
        <v>-40.068818999999998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0450-51</v>
      </c>
    </row>
    <row r="146" spans="1:92" ht="15.75" thickBot="1" x14ac:dyDescent="0.3">
      <c r="A146" s="376" t="s">
        <v>161</v>
      </c>
      <c r="B146" s="376" t="s">
        <v>162</v>
      </c>
      <c r="C146" s="376" t="s">
        <v>648</v>
      </c>
      <c r="D146" s="376" t="s">
        <v>585</v>
      </c>
      <c r="E146" s="376" t="s">
        <v>251</v>
      </c>
      <c r="F146" s="382" t="s">
        <v>728</v>
      </c>
      <c r="G146" s="376" t="s">
        <v>583</v>
      </c>
      <c r="H146" s="378"/>
      <c r="I146" s="378"/>
      <c r="J146" s="376" t="s">
        <v>242</v>
      </c>
      <c r="K146" s="376" t="s">
        <v>586</v>
      </c>
      <c r="L146" s="376" t="s">
        <v>171</v>
      </c>
      <c r="M146" s="376" t="s">
        <v>171</v>
      </c>
      <c r="N146" s="376" t="s">
        <v>172</v>
      </c>
      <c r="O146" s="379">
        <v>1</v>
      </c>
      <c r="P146" s="385">
        <v>0.22</v>
      </c>
      <c r="Q146" s="385">
        <v>0.22</v>
      </c>
      <c r="R146" s="380">
        <v>80</v>
      </c>
      <c r="S146" s="385">
        <v>0.22</v>
      </c>
      <c r="T146" s="380">
        <v>7073.9</v>
      </c>
      <c r="U146" s="380">
        <v>0</v>
      </c>
      <c r="V146" s="380">
        <v>4427.45</v>
      </c>
      <c r="W146" s="380">
        <v>7280.41</v>
      </c>
      <c r="X146" s="380">
        <v>4200.8599999999997</v>
      </c>
      <c r="Y146" s="380">
        <v>7280.41</v>
      </c>
      <c r="Z146" s="380">
        <v>4165.1899999999996</v>
      </c>
      <c r="AA146" s="376" t="s">
        <v>649</v>
      </c>
      <c r="AB146" s="376" t="s">
        <v>650</v>
      </c>
      <c r="AC146" s="376" t="s">
        <v>651</v>
      </c>
      <c r="AD146" s="376" t="s">
        <v>652</v>
      </c>
      <c r="AE146" s="376" t="s">
        <v>586</v>
      </c>
      <c r="AF146" s="376" t="s">
        <v>589</v>
      </c>
      <c r="AG146" s="376" t="s">
        <v>178</v>
      </c>
      <c r="AH146" s="381">
        <v>15.91</v>
      </c>
      <c r="AI146" s="379">
        <v>32621</v>
      </c>
      <c r="AJ146" s="376" t="s">
        <v>179</v>
      </c>
      <c r="AK146" s="376" t="s">
        <v>180</v>
      </c>
      <c r="AL146" s="376" t="s">
        <v>181</v>
      </c>
      <c r="AM146" s="376" t="s">
        <v>182</v>
      </c>
      <c r="AN146" s="376" t="s">
        <v>68</v>
      </c>
      <c r="AO146" s="379">
        <v>80</v>
      </c>
      <c r="AP146" s="385">
        <v>1</v>
      </c>
      <c r="AQ146" s="385">
        <v>0.22</v>
      </c>
      <c r="AR146" s="383" t="s">
        <v>183</v>
      </c>
      <c r="AS146" s="387">
        <f t="shared" si="115"/>
        <v>0.22</v>
      </c>
      <c r="AT146">
        <f t="shared" si="116"/>
        <v>1</v>
      </c>
      <c r="AU146" s="387">
        <f>IF(AT146=0,"",IF(AND(AT146=1,M146="F",SUMIF(C2:C206,C146,AS2:AS206)&lt;=1),SUMIF(C2:C206,C146,AS2:AS206),IF(AND(AT146=1,M146="F",SUMIF(C2:C206,C146,AS2:AS206)&gt;1),1,"")))</f>
        <v>1</v>
      </c>
      <c r="AV146" s="387" t="str">
        <f>IF(AT146=0,"",IF(AND(AT146=3,M146="F",SUMIF(C2:C206,C146,AS2:AS206)&lt;=1),SUMIF(C2:C206,C146,AS2:AS206),IF(AND(AT146=3,M146="F",SUMIF(C2:C206,C146,AS2:AS206)&gt;1),1,"")))</f>
        <v/>
      </c>
      <c r="AW146" s="387">
        <f>SUMIF(C2:C206,C146,O2:O206)</f>
        <v>2</v>
      </c>
      <c r="AX146" s="387">
        <f>IF(AND(M146="F",AS146&lt;&gt;0),SUMIF(C2:C206,C146,W2:W206),0)</f>
        <v>33092.79</v>
      </c>
      <c r="AY146" s="387">
        <f t="shared" si="117"/>
        <v>7280.41</v>
      </c>
      <c r="AZ146" s="387" t="str">
        <f t="shared" si="118"/>
        <v/>
      </c>
      <c r="BA146" s="387">
        <f t="shared" si="119"/>
        <v>0</v>
      </c>
      <c r="BB146" s="387">
        <f t="shared" si="88"/>
        <v>2563</v>
      </c>
      <c r="BC146" s="387">
        <f t="shared" si="89"/>
        <v>0</v>
      </c>
      <c r="BD146" s="387">
        <f t="shared" si="90"/>
        <v>451.38542000000001</v>
      </c>
      <c r="BE146" s="387">
        <f t="shared" si="91"/>
        <v>105.565945</v>
      </c>
      <c r="BF146" s="387">
        <f t="shared" si="92"/>
        <v>869.28095400000007</v>
      </c>
      <c r="BG146" s="387">
        <f t="shared" si="93"/>
        <v>52.491756100000003</v>
      </c>
      <c r="BH146" s="387">
        <f t="shared" si="94"/>
        <v>35.674008999999998</v>
      </c>
      <c r="BI146" s="387">
        <f t="shared" si="95"/>
        <v>22.278054599999997</v>
      </c>
      <c r="BJ146" s="387">
        <f t="shared" si="96"/>
        <v>101.19769899999999</v>
      </c>
      <c r="BK146" s="387">
        <f t="shared" si="97"/>
        <v>0</v>
      </c>
      <c r="BL146" s="387">
        <f t="shared" si="120"/>
        <v>1637.8738377000002</v>
      </c>
      <c r="BM146" s="387">
        <f t="shared" si="121"/>
        <v>0</v>
      </c>
      <c r="BN146" s="387">
        <f t="shared" si="98"/>
        <v>2563</v>
      </c>
      <c r="BO146" s="387">
        <f t="shared" si="99"/>
        <v>0</v>
      </c>
      <c r="BP146" s="387">
        <f t="shared" si="100"/>
        <v>451.38542000000001</v>
      </c>
      <c r="BQ146" s="387">
        <f t="shared" si="101"/>
        <v>105.565945</v>
      </c>
      <c r="BR146" s="387">
        <f t="shared" si="102"/>
        <v>869.28095400000007</v>
      </c>
      <c r="BS146" s="387">
        <f t="shared" si="103"/>
        <v>52.491756100000003</v>
      </c>
      <c r="BT146" s="387">
        <f t="shared" si="104"/>
        <v>0</v>
      </c>
      <c r="BU146" s="387">
        <f t="shared" si="105"/>
        <v>22.278054599999997</v>
      </c>
      <c r="BV146" s="387">
        <f t="shared" si="106"/>
        <v>101.19769899999999</v>
      </c>
      <c r="BW146" s="387">
        <f t="shared" si="107"/>
        <v>0</v>
      </c>
      <c r="BX146" s="387">
        <f t="shared" si="122"/>
        <v>1602.1998287000001</v>
      </c>
      <c r="BY146" s="387">
        <f t="shared" si="123"/>
        <v>0</v>
      </c>
      <c r="BZ146" s="387">
        <f t="shared" si="124"/>
        <v>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0</v>
      </c>
      <c r="CE146" s="387">
        <f t="shared" si="110"/>
        <v>0</v>
      </c>
      <c r="CF146" s="387">
        <f t="shared" si="111"/>
        <v>-35.674008999999998</v>
      </c>
      <c r="CG146" s="387">
        <f t="shared" si="112"/>
        <v>0</v>
      </c>
      <c r="CH146" s="387">
        <f t="shared" si="113"/>
        <v>0</v>
      </c>
      <c r="CI146" s="387">
        <f t="shared" si="114"/>
        <v>0</v>
      </c>
      <c r="CJ146" s="387">
        <f t="shared" si="127"/>
        <v>-35.674008999999998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0450-51</v>
      </c>
    </row>
    <row r="147" spans="1:92" ht="15.75" thickBot="1" x14ac:dyDescent="0.3">
      <c r="A147" s="376" t="s">
        <v>161</v>
      </c>
      <c r="B147" s="376" t="s">
        <v>162</v>
      </c>
      <c r="C147" s="376" t="s">
        <v>584</v>
      </c>
      <c r="D147" s="376" t="s">
        <v>585</v>
      </c>
      <c r="E147" s="376" t="s">
        <v>251</v>
      </c>
      <c r="F147" s="382" t="s">
        <v>728</v>
      </c>
      <c r="G147" s="376" t="s">
        <v>583</v>
      </c>
      <c r="H147" s="378"/>
      <c r="I147" s="378"/>
      <c r="J147" s="376" t="s">
        <v>242</v>
      </c>
      <c r="K147" s="376" t="s">
        <v>586</v>
      </c>
      <c r="L147" s="376" t="s">
        <v>171</v>
      </c>
      <c r="M147" s="376" t="s">
        <v>171</v>
      </c>
      <c r="N147" s="376" t="s">
        <v>172</v>
      </c>
      <c r="O147" s="379">
        <v>1</v>
      </c>
      <c r="P147" s="385">
        <v>0.22</v>
      </c>
      <c r="Q147" s="385">
        <v>0.22</v>
      </c>
      <c r="R147" s="380">
        <v>80</v>
      </c>
      <c r="S147" s="385">
        <v>0.22</v>
      </c>
      <c r="T147" s="380">
        <v>6407.14</v>
      </c>
      <c r="U147" s="380">
        <v>0</v>
      </c>
      <c r="V147" s="380">
        <v>4275.51</v>
      </c>
      <c r="W147" s="380">
        <v>6594.01</v>
      </c>
      <c r="X147" s="380">
        <v>4046.44</v>
      </c>
      <c r="Y147" s="380">
        <v>6594.01</v>
      </c>
      <c r="Z147" s="380">
        <v>4014.13</v>
      </c>
      <c r="AA147" s="376" t="s">
        <v>587</v>
      </c>
      <c r="AB147" s="376" t="s">
        <v>588</v>
      </c>
      <c r="AC147" s="376" t="s">
        <v>357</v>
      </c>
      <c r="AD147" s="376" t="s">
        <v>570</v>
      </c>
      <c r="AE147" s="376" t="s">
        <v>586</v>
      </c>
      <c r="AF147" s="376" t="s">
        <v>589</v>
      </c>
      <c r="AG147" s="376" t="s">
        <v>178</v>
      </c>
      <c r="AH147" s="381">
        <v>14.41</v>
      </c>
      <c r="AI147" s="379">
        <v>10080</v>
      </c>
      <c r="AJ147" s="376" t="s">
        <v>179</v>
      </c>
      <c r="AK147" s="376" t="s">
        <v>180</v>
      </c>
      <c r="AL147" s="376" t="s">
        <v>181</v>
      </c>
      <c r="AM147" s="376" t="s">
        <v>182</v>
      </c>
      <c r="AN147" s="376" t="s">
        <v>68</v>
      </c>
      <c r="AO147" s="379">
        <v>80</v>
      </c>
      <c r="AP147" s="385">
        <v>1</v>
      </c>
      <c r="AQ147" s="385">
        <v>0.22</v>
      </c>
      <c r="AR147" s="383" t="s">
        <v>183</v>
      </c>
      <c r="AS147" s="387">
        <f t="shared" si="115"/>
        <v>0.22</v>
      </c>
      <c r="AT147">
        <f t="shared" si="116"/>
        <v>1</v>
      </c>
      <c r="AU147" s="387">
        <f>IF(AT147=0,"",IF(AND(AT147=1,M147="F",SUMIF(C2:C206,C147,AS2:AS206)&lt;=1),SUMIF(C2:C206,C147,AS2:AS206),IF(AND(AT147=1,M147="F",SUMIF(C2:C206,C147,AS2:AS206)&gt;1),1,"")))</f>
        <v>1</v>
      </c>
      <c r="AV147" s="387" t="str">
        <f>IF(AT147=0,"",IF(AND(AT147=3,M147="F",SUMIF(C2:C206,C147,AS2:AS206)&lt;=1),SUMIF(C2:C206,C147,AS2:AS206),IF(AND(AT147=3,M147="F",SUMIF(C2:C206,C147,AS2:AS206)&gt;1),1,"")))</f>
        <v/>
      </c>
      <c r="AW147" s="387">
        <f>SUMIF(C2:C206,C147,O2:O206)</f>
        <v>2</v>
      </c>
      <c r="AX147" s="387">
        <f>IF(AND(M147="F",AS147&lt;&gt;0),SUMIF(C2:C206,C147,W2:W206),0)</f>
        <v>29972.79</v>
      </c>
      <c r="AY147" s="387">
        <f t="shared" si="117"/>
        <v>6594.01</v>
      </c>
      <c r="AZ147" s="387" t="str">
        <f t="shared" si="118"/>
        <v/>
      </c>
      <c r="BA147" s="387">
        <f t="shared" si="119"/>
        <v>0</v>
      </c>
      <c r="BB147" s="387">
        <f t="shared" si="88"/>
        <v>2563</v>
      </c>
      <c r="BC147" s="387">
        <f t="shared" si="89"/>
        <v>0</v>
      </c>
      <c r="BD147" s="387">
        <f t="shared" si="90"/>
        <v>408.82862</v>
      </c>
      <c r="BE147" s="387">
        <f t="shared" si="91"/>
        <v>95.613145000000003</v>
      </c>
      <c r="BF147" s="387">
        <f t="shared" si="92"/>
        <v>787.32479400000011</v>
      </c>
      <c r="BG147" s="387">
        <f t="shared" si="93"/>
        <v>47.542812100000006</v>
      </c>
      <c r="BH147" s="387">
        <f t="shared" si="94"/>
        <v>32.310648999999998</v>
      </c>
      <c r="BI147" s="387">
        <f t="shared" si="95"/>
        <v>20.177670599999999</v>
      </c>
      <c r="BJ147" s="387">
        <f t="shared" si="96"/>
        <v>91.656739000000002</v>
      </c>
      <c r="BK147" s="387">
        <f t="shared" si="97"/>
        <v>0</v>
      </c>
      <c r="BL147" s="387">
        <f t="shared" si="120"/>
        <v>1483.4544297000002</v>
      </c>
      <c r="BM147" s="387">
        <f t="shared" si="121"/>
        <v>0</v>
      </c>
      <c r="BN147" s="387">
        <f t="shared" si="98"/>
        <v>2563</v>
      </c>
      <c r="BO147" s="387">
        <f t="shared" si="99"/>
        <v>0</v>
      </c>
      <c r="BP147" s="387">
        <f t="shared" si="100"/>
        <v>408.82862</v>
      </c>
      <c r="BQ147" s="387">
        <f t="shared" si="101"/>
        <v>95.613145000000003</v>
      </c>
      <c r="BR147" s="387">
        <f t="shared" si="102"/>
        <v>787.32479400000011</v>
      </c>
      <c r="BS147" s="387">
        <f t="shared" si="103"/>
        <v>47.542812100000006</v>
      </c>
      <c r="BT147" s="387">
        <f t="shared" si="104"/>
        <v>0</v>
      </c>
      <c r="BU147" s="387">
        <f t="shared" si="105"/>
        <v>20.177670599999999</v>
      </c>
      <c r="BV147" s="387">
        <f t="shared" si="106"/>
        <v>91.656739000000002</v>
      </c>
      <c r="BW147" s="387">
        <f t="shared" si="107"/>
        <v>0</v>
      </c>
      <c r="BX147" s="387">
        <f t="shared" si="122"/>
        <v>1451.1437807000002</v>
      </c>
      <c r="BY147" s="387">
        <f t="shared" si="123"/>
        <v>0</v>
      </c>
      <c r="BZ147" s="387">
        <f t="shared" si="124"/>
        <v>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0</v>
      </c>
      <c r="CE147" s="387">
        <f t="shared" si="110"/>
        <v>0</v>
      </c>
      <c r="CF147" s="387">
        <f t="shared" si="111"/>
        <v>-32.310648999999998</v>
      </c>
      <c r="CG147" s="387">
        <f t="shared" si="112"/>
        <v>0</v>
      </c>
      <c r="CH147" s="387">
        <f t="shared" si="113"/>
        <v>0</v>
      </c>
      <c r="CI147" s="387">
        <f t="shared" si="114"/>
        <v>0</v>
      </c>
      <c r="CJ147" s="387">
        <f t="shared" si="127"/>
        <v>-32.310648999999998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0450-51</v>
      </c>
    </row>
    <row r="148" spans="1:92" ht="15.75" thickBot="1" x14ac:dyDescent="0.3">
      <c r="A148" s="376" t="s">
        <v>161</v>
      </c>
      <c r="B148" s="376" t="s">
        <v>162</v>
      </c>
      <c r="C148" s="376" t="s">
        <v>590</v>
      </c>
      <c r="D148" s="376" t="s">
        <v>585</v>
      </c>
      <c r="E148" s="376" t="s">
        <v>251</v>
      </c>
      <c r="F148" s="382" t="s">
        <v>728</v>
      </c>
      <c r="G148" s="376" t="s">
        <v>583</v>
      </c>
      <c r="H148" s="378"/>
      <c r="I148" s="378"/>
      <c r="J148" s="376" t="s">
        <v>242</v>
      </c>
      <c r="K148" s="376" t="s">
        <v>586</v>
      </c>
      <c r="L148" s="376" t="s">
        <v>171</v>
      </c>
      <c r="M148" s="376" t="s">
        <v>171</v>
      </c>
      <c r="N148" s="376" t="s">
        <v>172</v>
      </c>
      <c r="O148" s="379">
        <v>1</v>
      </c>
      <c r="P148" s="385">
        <v>0.22</v>
      </c>
      <c r="Q148" s="385">
        <v>0.22</v>
      </c>
      <c r="R148" s="380">
        <v>80</v>
      </c>
      <c r="S148" s="385">
        <v>0.22</v>
      </c>
      <c r="T148" s="380">
        <v>5495.72</v>
      </c>
      <c r="U148" s="380">
        <v>0</v>
      </c>
      <c r="V148" s="380">
        <v>4055.24</v>
      </c>
      <c r="W148" s="380">
        <v>5857.28</v>
      </c>
      <c r="X148" s="380">
        <v>3880.7</v>
      </c>
      <c r="Y148" s="380">
        <v>5857.28</v>
      </c>
      <c r="Z148" s="380">
        <v>3852</v>
      </c>
      <c r="AA148" s="376" t="s">
        <v>591</v>
      </c>
      <c r="AB148" s="376" t="s">
        <v>592</v>
      </c>
      <c r="AC148" s="376" t="s">
        <v>593</v>
      </c>
      <c r="AD148" s="376" t="s">
        <v>279</v>
      </c>
      <c r="AE148" s="376" t="s">
        <v>586</v>
      </c>
      <c r="AF148" s="376" t="s">
        <v>589</v>
      </c>
      <c r="AG148" s="376" t="s">
        <v>178</v>
      </c>
      <c r="AH148" s="381">
        <v>12.8</v>
      </c>
      <c r="AI148" s="379">
        <v>880</v>
      </c>
      <c r="AJ148" s="376" t="s">
        <v>179</v>
      </c>
      <c r="AK148" s="376" t="s">
        <v>180</v>
      </c>
      <c r="AL148" s="376" t="s">
        <v>181</v>
      </c>
      <c r="AM148" s="376" t="s">
        <v>182</v>
      </c>
      <c r="AN148" s="376" t="s">
        <v>68</v>
      </c>
      <c r="AO148" s="379">
        <v>80</v>
      </c>
      <c r="AP148" s="385">
        <v>1</v>
      </c>
      <c r="AQ148" s="385">
        <v>0.22</v>
      </c>
      <c r="AR148" s="383" t="s">
        <v>183</v>
      </c>
      <c r="AS148" s="387">
        <f t="shared" si="115"/>
        <v>0.22</v>
      </c>
      <c r="AT148">
        <f t="shared" si="116"/>
        <v>1</v>
      </c>
      <c r="AU148" s="387">
        <f>IF(AT148=0,"",IF(AND(AT148=1,M148="F",SUMIF(C2:C206,C148,AS2:AS206)&lt;=1),SUMIF(C2:C206,C148,AS2:AS206),IF(AND(AT148=1,M148="F",SUMIF(C2:C206,C148,AS2:AS206)&gt;1),1,"")))</f>
        <v>1</v>
      </c>
      <c r="AV148" s="387" t="str">
        <f>IF(AT148=0,"",IF(AND(AT148=3,M148="F",SUMIF(C2:C206,C148,AS2:AS206)&lt;=1),SUMIF(C2:C206,C148,AS2:AS206),IF(AND(AT148=3,M148="F",SUMIF(C2:C206,C148,AS2:AS206)&gt;1),1,"")))</f>
        <v/>
      </c>
      <c r="AW148" s="387">
        <f>SUMIF(C2:C206,C148,O2:O206)</f>
        <v>2</v>
      </c>
      <c r="AX148" s="387">
        <f>IF(AND(M148="F",AS148&lt;&gt;0),SUMIF(C2:C206,C148,W2:W206),0)</f>
        <v>26624</v>
      </c>
      <c r="AY148" s="387">
        <f t="shared" si="117"/>
        <v>5857.28</v>
      </c>
      <c r="AZ148" s="387" t="str">
        <f t="shared" si="118"/>
        <v/>
      </c>
      <c r="BA148" s="387">
        <f t="shared" si="119"/>
        <v>0</v>
      </c>
      <c r="BB148" s="387">
        <f t="shared" si="88"/>
        <v>2563</v>
      </c>
      <c r="BC148" s="387">
        <f t="shared" si="89"/>
        <v>0</v>
      </c>
      <c r="BD148" s="387">
        <f t="shared" si="90"/>
        <v>363.15135999999995</v>
      </c>
      <c r="BE148" s="387">
        <f t="shared" si="91"/>
        <v>84.93056</v>
      </c>
      <c r="BF148" s="387">
        <f t="shared" si="92"/>
        <v>699.35923200000002</v>
      </c>
      <c r="BG148" s="387">
        <f t="shared" si="93"/>
        <v>42.230988799999999</v>
      </c>
      <c r="BH148" s="387">
        <f t="shared" si="94"/>
        <v>28.700671999999997</v>
      </c>
      <c r="BI148" s="387">
        <f t="shared" si="95"/>
        <v>17.923276799999996</v>
      </c>
      <c r="BJ148" s="387">
        <f t="shared" si="96"/>
        <v>81.416191999999995</v>
      </c>
      <c r="BK148" s="387">
        <f t="shared" si="97"/>
        <v>0</v>
      </c>
      <c r="BL148" s="387">
        <f t="shared" si="120"/>
        <v>1317.7122815999996</v>
      </c>
      <c r="BM148" s="387">
        <f t="shared" si="121"/>
        <v>0</v>
      </c>
      <c r="BN148" s="387">
        <f t="shared" si="98"/>
        <v>2563</v>
      </c>
      <c r="BO148" s="387">
        <f t="shared" si="99"/>
        <v>0</v>
      </c>
      <c r="BP148" s="387">
        <f t="shared" si="100"/>
        <v>363.15135999999995</v>
      </c>
      <c r="BQ148" s="387">
        <f t="shared" si="101"/>
        <v>84.93056</v>
      </c>
      <c r="BR148" s="387">
        <f t="shared" si="102"/>
        <v>699.35923200000002</v>
      </c>
      <c r="BS148" s="387">
        <f t="shared" si="103"/>
        <v>42.230988799999999</v>
      </c>
      <c r="BT148" s="387">
        <f t="shared" si="104"/>
        <v>0</v>
      </c>
      <c r="BU148" s="387">
        <f t="shared" si="105"/>
        <v>17.923276799999996</v>
      </c>
      <c r="BV148" s="387">
        <f t="shared" si="106"/>
        <v>81.416191999999995</v>
      </c>
      <c r="BW148" s="387">
        <f t="shared" si="107"/>
        <v>0</v>
      </c>
      <c r="BX148" s="387">
        <f t="shared" si="122"/>
        <v>1289.0116095999997</v>
      </c>
      <c r="BY148" s="387">
        <f t="shared" si="123"/>
        <v>0</v>
      </c>
      <c r="BZ148" s="387">
        <f t="shared" si="124"/>
        <v>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0</v>
      </c>
      <c r="CE148" s="387">
        <f t="shared" si="110"/>
        <v>0</v>
      </c>
      <c r="CF148" s="387">
        <f t="shared" si="111"/>
        <v>-28.700671999999997</v>
      </c>
      <c r="CG148" s="387">
        <f t="shared" si="112"/>
        <v>0</v>
      </c>
      <c r="CH148" s="387">
        <f t="shared" si="113"/>
        <v>0</v>
      </c>
      <c r="CI148" s="387">
        <f t="shared" si="114"/>
        <v>0</v>
      </c>
      <c r="CJ148" s="387">
        <f t="shared" si="127"/>
        <v>-28.700671999999997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0450-51</v>
      </c>
    </row>
    <row r="149" spans="1:92" ht="15.75" thickBot="1" x14ac:dyDescent="0.3">
      <c r="A149" s="376" t="s">
        <v>161</v>
      </c>
      <c r="B149" s="376" t="s">
        <v>162</v>
      </c>
      <c r="C149" s="376" t="s">
        <v>594</v>
      </c>
      <c r="D149" s="376" t="s">
        <v>585</v>
      </c>
      <c r="E149" s="376" t="s">
        <v>251</v>
      </c>
      <c r="F149" s="382" t="s">
        <v>728</v>
      </c>
      <c r="G149" s="376" t="s">
        <v>583</v>
      </c>
      <c r="H149" s="378"/>
      <c r="I149" s="378"/>
      <c r="J149" s="376" t="s">
        <v>242</v>
      </c>
      <c r="K149" s="376" t="s">
        <v>586</v>
      </c>
      <c r="L149" s="376" t="s">
        <v>171</v>
      </c>
      <c r="M149" s="376" t="s">
        <v>171</v>
      </c>
      <c r="N149" s="376" t="s">
        <v>172</v>
      </c>
      <c r="O149" s="379">
        <v>1</v>
      </c>
      <c r="P149" s="385">
        <v>0.22</v>
      </c>
      <c r="Q149" s="385">
        <v>0.22</v>
      </c>
      <c r="R149" s="380">
        <v>80</v>
      </c>
      <c r="S149" s="385">
        <v>0.22</v>
      </c>
      <c r="T149" s="380">
        <v>6565.82</v>
      </c>
      <c r="U149" s="380">
        <v>0</v>
      </c>
      <c r="V149" s="380">
        <v>4342.74</v>
      </c>
      <c r="W149" s="380">
        <v>7280.41</v>
      </c>
      <c r="X149" s="380">
        <v>4200.8599999999997</v>
      </c>
      <c r="Y149" s="380">
        <v>7280.41</v>
      </c>
      <c r="Z149" s="380">
        <v>4165.1899999999996</v>
      </c>
      <c r="AA149" s="376" t="s">
        <v>595</v>
      </c>
      <c r="AB149" s="376" t="s">
        <v>398</v>
      </c>
      <c r="AC149" s="376" t="s">
        <v>596</v>
      </c>
      <c r="AD149" s="376" t="s">
        <v>283</v>
      </c>
      <c r="AE149" s="376" t="s">
        <v>586</v>
      </c>
      <c r="AF149" s="376" t="s">
        <v>589</v>
      </c>
      <c r="AG149" s="376" t="s">
        <v>178</v>
      </c>
      <c r="AH149" s="381">
        <v>15.91</v>
      </c>
      <c r="AI149" s="381">
        <v>25065.9</v>
      </c>
      <c r="AJ149" s="376" t="s">
        <v>179</v>
      </c>
      <c r="AK149" s="376" t="s">
        <v>180</v>
      </c>
      <c r="AL149" s="376" t="s">
        <v>181</v>
      </c>
      <c r="AM149" s="376" t="s">
        <v>182</v>
      </c>
      <c r="AN149" s="376" t="s">
        <v>68</v>
      </c>
      <c r="AO149" s="379">
        <v>80</v>
      </c>
      <c r="AP149" s="385">
        <v>1</v>
      </c>
      <c r="AQ149" s="385">
        <v>0.22</v>
      </c>
      <c r="AR149" s="383" t="s">
        <v>183</v>
      </c>
      <c r="AS149" s="387">
        <f t="shared" si="115"/>
        <v>0.22</v>
      </c>
      <c r="AT149">
        <f t="shared" si="116"/>
        <v>1</v>
      </c>
      <c r="AU149" s="387">
        <f>IF(AT149=0,"",IF(AND(AT149=1,M149="F",SUMIF(C2:C206,C149,AS2:AS206)&lt;=1),SUMIF(C2:C206,C149,AS2:AS206),IF(AND(AT149=1,M149="F",SUMIF(C2:C206,C149,AS2:AS206)&gt;1),1,"")))</f>
        <v>1</v>
      </c>
      <c r="AV149" s="387" t="str">
        <f>IF(AT149=0,"",IF(AND(AT149=3,M149="F",SUMIF(C2:C206,C149,AS2:AS206)&lt;=1),SUMIF(C2:C206,C149,AS2:AS206),IF(AND(AT149=3,M149="F",SUMIF(C2:C206,C149,AS2:AS206)&gt;1),1,"")))</f>
        <v/>
      </c>
      <c r="AW149" s="387">
        <f>SUMIF(C2:C206,C149,O2:O206)</f>
        <v>2</v>
      </c>
      <c r="AX149" s="387">
        <f>IF(AND(M149="F",AS149&lt;&gt;0),SUMIF(C2:C206,C149,W2:W206),0)</f>
        <v>33092.79</v>
      </c>
      <c r="AY149" s="387">
        <f t="shared" si="117"/>
        <v>7280.41</v>
      </c>
      <c r="AZ149" s="387" t="str">
        <f t="shared" si="118"/>
        <v/>
      </c>
      <c r="BA149" s="387">
        <f t="shared" si="119"/>
        <v>0</v>
      </c>
      <c r="BB149" s="387">
        <f t="shared" si="88"/>
        <v>2563</v>
      </c>
      <c r="BC149" s="387">
        <f t="shared" si="89"/>
        <v>0</v>
      </c>
      <c r="BD149" s="387">
        <f t="shared" si="90"/>
        <v>451.38542000000001</v>
      </c>
      <c r="BE149" s="387">
        <f t="shared" si="91"/>
        <v>105.565945</v>
      </c>
      <c r="BF149" s="387">
        <f t="shared" si="92"/>
        <v>869.28095400000007</v>
      </c>
      <c r="BG149" s="387">
        <f t="shared" si="93"/>
        <v>52.491756100000003</v>
      </c>
      <c r="BH149" s="387">
        <f t="shared" si="94"/>
        <v>35.674008999999998</v>
      </c>
      <c r="BI149" s="387">
        <f t="shared" si="95"/>
        <v>22.278054599999997</v>
      </c>
      <c r="BJ149" s="387">
        <f t="shared" si="96"/>
        <v>101.19769899999999</v>
      </c>
      <c r="BK149" s="387">
        <f t="shared" si="97"/>
        <v>0</v>
      </c>
      <c r="BL149" s="387">
        <f t="shared" si="120"/>
        <v>1637.8738377000002</v>
      </c>
      <c r="BM149" s="387">
        <f t="shared" si="121"/>
        <v>0</v>
      </c>
      <c r="BN149" s="387">
        <f t="shared" si="98"/>
        <v>2563</v>
      </c>
      <c r="BO149" s="387">
        <f t="shared" si="99"/>
        <v>0</v>
      </c>
      <c r="BP149" s="387">
        <f t="shared" si="100"/>
        <v>451.38542000000001</v>
      </c>
      <c r="BQ149" s="387">
        <f t="shared" si="101"/>
        <v>105.565945</v>
      </c>
      <c r="BR149" s="387">
        <f t="shared" si="102"/>
        <v>869.28095400000007</v>
      </c>
      <c r="BS149" s="387">
        <f t="shared" si="103"/>
        <v>52.491756100000003</v>
      </c>
      <c r="BT149" s="387">
        <f t="shared" si="104"/>
        <v>0</v>
      </c>
      <c r="BU149" s="387">
        <f t="shared" si="105"/>
        <v>22.278054599999997</v>
      </c>
      <c r="BV149" s="387">
        <f t="shared" si="106"/>
        <v>101.19769899999999</v>
      </c>
      <c r="BW149" s="387">
        <f t="shared" si="107"/>
        <v>0</v>
      </c>
      <c r="BX149" s="387">
        <f t="shared" si="122"/>
        <v>1602.1998287000001</v>
      </c>
      <c r="BY149" s="387">
        <f t="shared" si="123"/>
        <v>0</v>
      </c>
      <c r="BZ149" s="387">
        <f t="shared" si="124"/>
        <v>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0</v>
      </c>
      <c r="CE149" s="387">
        <f t="shared" si="110"/>
        <v>0</v>
      </c>
      <c r="CF149" s="387">
        <f t="shared" si="111"/>
        <v>-35.674008999999998</v>
      </c>
      <c r="CG149" s="387">
        <f t="shared" si="112"/>
        <v>0</v>
      </c>
      <c r="CH149" s="387">
        <f t="shared" si="113"/>
        <v>0</v>
      </c>
      <c r="CI149" s="387">
        <f t="shared" si="114"/>
        <v>0</v>
      </c>
      <c r="CJ149" s="387">
        <f t="shared" si="127"/>
        <v>-35.674008999999998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0450-51</v>
      </c>
    </row>
    <row r="150" spans="1:92" ht="15.75" thickBot="1" x14ac:dyDescent="0.3">
      <c r="A150" s="376" t="s">
        <v>161</v>
      </c>
      <c r="B150" s="376" t="s">
        <v>162</v>
      </c>
      <c r="C150" s="376" t="s">
        <v>597</v>
      </c>
      <c r="D150" s="376" t="s">
        <v>585</v>
      </c>
      <c r="E150" s="376" t="s">
        <v>251</v>
      </c>
      <c r="F150" s="382" t="s">
        <v>728</v>
      </c>
      <c r="G150" s="376" t="s">
        <v>583</v>
      </c>
      <c r="H150" s="378"/>
      <c r="I150" s="378"/>
      <c r="J150" s="376" t="s">
        <v>242</v>
      </c>
      <c r="K150" s="376" t="s">
        <v>586</v>
      </c>
      <c r="L150" s="376" t="s">
        <v>171</v>
      </c>
      <c r="M150" s="376" t="s">
        <v>171</v>
      </c>
      <c r="N150" s="376" t="s">
        <v>172</v>
      </c>
      <c r="O150" s="379">
        <v>1</v>
      </c>
      <c r="P150" s="385">
        <v>0.22</v>
      </c>
      <c r="Q150" s="385">
        <v>0.22</v>
      </c>
      <c r="R150" s="380">
        <v>80</v>
      </c>
      <c r="S150" s="385">
        <v>0.22</v>
      </c>
      <c r="T150" s="380">
        <v>7034.34</v>
      </c>
      <c r="U150" s="380">
        <v>0</v>
      </c>
      <c r="V150" s="380">
        <v>4335.04</v>
      </c>
      <c r="W150" s="380">
        <v>5857.28</v>
      </c>
      <c r="X150" s="380">
        <v>3880.7</v>
      </c>
      <c r="Y150" s="380">
        <v>5857.28</v>
      </c>
      <c r="Z150" s="380">
        <v>3852</v>
      </c>
      <c r="AA150" s="376" t="s">
        <v>598</v>
      </c>
      <c r="AB150" s="376" t="s">
        <v>599</v>
      </c>
      <c r="AC150" s="376" t="s">
        <v>600</v>
      </c>
      <c r="AD150" s="376" t="s">
        <v>404</v>
      </c>
      <c r="AE150" s="376" t="s">
        <v>586</v>
      </c>
      <c r="AF150" s="376" t="s">
        <v>589</v>
      </c>
      <c r="AG150" s="376" t="s">
        <v>178</v>
      </c>
      <c r="AH150" s="381">
        <v>12.8</v>
      </c>
      <c r="AI150" s="379">
        <v>720</v>
      </c>
      <c r="AJ150" s="376" t="s">
        <v>179</v>
      </c>
      <c r="AK150" s="376" t="s">
        <v>180</v>
      </c>
      <c r="AL150" s="376" t="s">
        <v>181</v>
      </c>
      <c r="AM150" s="376" t="s">
        <v>182</v>
      </c>
      <c r="AN150" s="376" t="s">
        <v>68</v>
      </c>
      <c r="AO150" s="379">
        <v>80</v>
      </c>
      <c r="AP150" s="385">
        <v>1</v>
      </c>
      <c r="AQ150" s="385">
        <v>0.22</v>
      </c>
      <c r="AR150" s="383" t="s">
        <v>183</v>
      </c>
      <c r="AS150" s="387">
        <f t="shared" si="115"/>
        <v>0.22</v>
      </c>
      <c r="AT150">
        <f t="shared" si="116"/>
        <v>1</v>
      </c>
      <c r="AU150" s="387">
        <f>IF(AT150=0,"",IF(AND(AT150=1,M150="F",SUMIF(C2:C206,C150,AS2:AS206)&lt;=1),SUMIF(C2:C206,C150,AS2:AS206),IF(AND(AT150=1,M150="F",SUMIF(C2:C206,C150,AS2:AS206)&gt;1),1,"")))</f>
        <v>1</v>
      </c>
      <c r="AV150" s="387" t="str">
        <f>IF(AT150=0,"",IF(AND(AT150=3,M150="F",SUMIF(C2:C206,C150,AS2:AS206)&lt;=1),SUMIF(C2:C206,C150,AS2:AS206),IF(AND(AT150=3,M150="F",SUMIF(C2:C206,C150,AS2:AS206)&gt;1),1,"")))</f>
        <v/>
      </c>
      <c r="AW150" s="387">
        <f>SUMIF(C2:C206,C150,O2:O206)</f>
        <v>2</v>
      </c>
      <c r="AX150" s="387">
        <f>IF(AND(M150="F",AS150&lt;&gt;0),SUMIF(C2:C206,C150,W2:W206),0)</f>
        <v>26624</v>
      </c>
      <c r="AY150" s="387">
        <f t="shared" si="117"/>
        <v>5857.28</v>
      </c>
      <c r="AZ150" s="387" t="str">
        <f t="shared" si="118"/>
        <v/>
      </c>
      <c r="BA150" s="387">
        <f t="shared" si="119"/>
        <v>0</v>
      </c>
      <c r="BB150" s="387">
        <f t="shared" si="88"/>
        <v>2563</v>
      </c>
      <c r="BC150" s="387">
        <f t="shared" si="89"/>
        <v>0</v>
      </c>
      <c r="BD150" s="387">
        <f t="shared" si="90"/>
        <v>363.15135999999995</v>
      </c>
      <c r="BE150" s="387">
        <f t="shared" si="91"/>
        <v>84.93056</v>
      </c>
      <c r="BF150" s="387">
        <f t="shared" si="92"/>
        <v>699.35923200000002</v>
      </c>
      <c r="BG150" s="387">
        <f t="shared" si="93"/>
        <v>42.230988799999999</v>
      </c>
      <c r="BH150" s="387">
        <f t="shared" si="94"/>
        <v>28.700671999999997</v>
      </c>
      <c r="BI150" s="387">
        <f t="shared" si="95"/>
        <v>17.923276799999996</v>
      </c>
      <c r="BJ150" s="387">
        <f t="shared" si="96"/>
        <v>81.416191999999995</v>
      </c>
      <c r="BK150" s="387">
        <f t="shared" si="97"/>
        <v>0</v>
      </c>
      <c r="BL150" s="387">
        <f t="shared" si="120"/>
        <v>1317.7122815999996</v>
      </c>
      <c r="BM150" s="387">
        <f t="shared" si="121"/>
        <v>0</v>
      </c>
      <c r="BN150" s="387">
        <f t="shared" si="98"/>
        <v>2563</v>
      </c>
      <c r="BO150" s="387">
        <f t="shared" si="99"/>
        <v>0</v>
      </c>
      <c r="BP150" s="387">
        <f t="shared" si="100"/>
        <v>363.15135999999995</v>
      </c>
      <c r="BQ150" s="387">
        <f t="shared" si="101"/>
        <v>84.93056</v>
      </c>
      <c r="BR150" s="387">
        <f t="shared" si="102"/>
        <v>699.35923200000002</v>
      </c>
      <c r="BS150" s="387">
        <f t="shared" si="103"/>
        <v>42.230988799999999</v>
      </c>
      <c r="BT150" s="387">
        <f t="shared" si="104"/>
        <v>0</v>
      </c>
      <c r="BU150" s="387">
        <f t="shared" si="105"/>
        <v>17.923276799999996</v>
      </c>
      <c r="BV150" s="387">
        <f t="shared" si="106"/>
        <v>81.416191999999995</v>
      </c>
      <c r="BW150" s="387">
        <f t="shared" si="107"/>
        <v>0</v>
      </c>
      <c r="BX150" s="387">
        <f t="shared" si="122"/>
        <v>1289.0116095999997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-28.700671999999997</v>
      </c>
      <c r="CG150" s="387">
        <f t="shared" si="112"/>
        <v>0</v>
      </c>
      <c r="CH150" s="387">
        <f t="shared" si="113"/>
        <v>0</v>
      </c>
      <c r="CI150" s="387">
        <f t="shared" si="114"/>
        <v>0</v>
      </c>
      <c r="CJ150" s="387">
        <f t="shared" si="127"/>
        <v>-28.700671999999997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0450-51</v>
      </c>
    </row>
    <row r="151" spans="1:92" ht="15.75" thickBot="1" x14ac:dyDescent="0.3">
      <c r="A151" s="376" t="s">
        <v>161</v>
      </c>
      <c r="B151" s="376" t="s">
        <v>162</v>
      </c>
      <c r="C151" s="376" t="s">
        <v>601</v>
      </c>
      <c r="D151" s="376" t="s">
        <v>585</v>
      </c>
      <c r="E151" s="376" t="s">
        <v>251</v>
      </c>
      <c r="F151" s="382" t="s">
        <v>728</v>
      </c>
      <c r="G151" s="376" t="s">
        <v>583</v>
      </c>
      <c r="H151" s="378"/>
      <c r="I151" s="378"/>
      <c r="J151" s="376" t="s">
        <v>242</v>
      </c>
      <c r="K151" s="376" t="s">
        <v>586</v>
      </c>
      <c r="L151" s="376" t="s">
        <v>171</v>
      </c>
      <c r="M151" s="376" t="s">
        <v>171</v>
      </c>
      <c r="N151" s="376" t="s">
        <v>172</v>
      </c>
      <c r="O151" s="379">
        <v>1</v>
      </c>
      <c r="P151" s="385">
        <v>0.22</v>
      </c>
      <c r="Q151" s="385">
        <v>0.22</v>
      </c>
      <c r="R151" s="380">
        <v>80</v>
      </c>
      <c r="S151" s="385">
        <v>0.22</v>
      </c>
      <c r="T151" s="380">
        <v>6415.75</v>
      </c>
      <c r="U151" s="380">
        <v>0</v>
      </c>
      <c r="V151" s="380">
        <v>4215.3900000000003</v>
      </c>
      <c r="W151" s="380">
        <v>6630.62</v>
      </c>
      <c r="X151" s="380">
        <v>4054.68</v>
      </c>
      <c r="Y151" s="380">
        <v>6630.62</v>
      </c>
      <c r="Z151" s="380">
        <v>4022.19</v>
      </c>
      <c r="AA151" s="376" t="s">
        <v>602</v>
      </c>
      <c r="AB151" s="376" t="s">
        <v>603</v>
      </c>
      <c r="AC151" s="376" t="s">
        <v>604</v>
      </c>
      <c r="AD151" s="376" t="s">
        <v>324</v>
      </c>
      <c r="AE151" s="376" t="s">
        <v>586</v>
      </c>
      <c r="AF151" s="376" t="s">
        <v>589</v>
      </c>
      <c r="AG151" s="376" t="s">
        <v>178</v>
      </c>
      <c r="AH151" s="381">
        <v>14.49</v>
      </c>
      <c r="AI151" s="379">
        <v>3920</v>
      </c>
      <c r="AJ151" s="376" t="s">
        <v>179</v>
      </c>
      <c r="AK151" s="376" t="s">
        <v>180</v>
      </c>
      <c r="AL151" s="376" t="s">
        <v>181</v>
      </c>
      <c r="AM151" s="376" t="s">
        <v>182</v>
      </c>
      <c r="AN151" s="376" t="s">
        <v>68</v>
      </c>
      <c r="AO151" s="379">
        <v>80</v>
      </c>
      <c r="AP151" s="385">
        <v>1</v>
      </c>
      <c r="AQ151" s="385">
        <v>0.22</v>
      </c>
      <c r="AR151" s="383" t="s">
        <v>183</v>
      </c>
      <c r="AS151" s="387">
        <f t="shared" si="115"/>
        <v>0.22</v>
      </c>
      <c r="AT151">
        <f t="shared" si="116"/>
        <v>1</v>
      </c>
      <c r="AU151" s="387">
        <f>IF(AT151=0,"",IF(AND(AT151=1,M151="F",SUMIF(C2:C206,C151,AS2:AS206)&lt;=1),SUMIF(C2:C206,C151,AS2:AS206),IF(AND(AT151=1,M151="F",SUMIF(C2:C206,C151,AS2:AS206)&gt;1),1,"")))</f>
        <v>1</v>
      </c>
      <c r="AV151" s="387" t="str">
        <f>IF(AT151=0,"",IF(AND(AT151=3,M151="F",SUMIF(C2:C206,C151,AS2:AS206)&lt;=1),SUMIF(C2:C206,C151,AS2:AS206),IF(AND(AT151=3,M151="F",SUMIF(C2:C206,C151,AS2:AS206)&gt;1),1,"")))</f>
        <v/>
      </c>
      <c r="AW151" s="387">
        <f>SUMIF(C2:C206,C151,O2:O206)</f>
        <v>2</v>
      </c>
      <c r="AX151" s="387">
        <f>IF(AND(M151="F",AS151&lt;&gt;0),SUMIF(C2:C206,C151,W2:W206),0)</f>
        <v>30139.19</v>
      </c>
      <c r="AY151" s="387">
        <f t="shared" si="117"/>
        <v>6630.62</v>
      </c>
      <c r="AZ151" s="387" t="str">
        <f t="shared" si="118"/>
        <v/>
      </c>
      <c r="BA151" s="387">
        <f t="shared" si="119"/>
        <v>0</v>
      </c>
      <c r="BB151" s="387">
        <f t="shared" si="88"/>
        <v>2563</v>
      </c>
      <c r="BC151" s="387">
        <f t="shared" si="89"/>
        <v>0</v>
      </c>
      <c r="BD151" s="387">
        <f t="shared" si="90"/>
        <v>411.09843999999998</v>
      </c>
      <c r="BE151" s="387">
        <f t="shared" si="91"/>
        <v>96.143990000000002</v>
      </c>
      <c r="BF151" s="387">
        <f t="shared" si="92"/>
        <v>791.69602800000007</v>
      </c>
      <c r="BG151" s="387">
        <f t="shared" si="93"/>
        <v>47.806770200000003</v>
      </c>
      <c r="BH151" s="387">
        <f t="shared" si="94"/>
        <v>32.490037999999998</v>
      </c>
      <c r="BI151" s="387">
        <f t="shared" si="95"/>
        <v>20.289697199999999</v>
      </c>
      <c r="BJ151" s="387">
        <f t="shared" si="96"/>
        <v>92.165617999999995</v>
      </c>
      <c r="BK151" s="387">
        <f t="shared" si="97"/>
        <v>0</v>
      </c>
      <c r="BL151" s="387">
        <f t="shared" si="120"/>
        <v>1491.6905814000002</v>
      </c>
      <c r="BM151" s="387">
        <f t="shared" si="121"/>
        <v>0</v>
      </c>
      <c r="BN151" s="387">
        <f t="shared" si="98"/>
        <v>2563</v>
      </c>
      <c r="BO151" s="387">
        <f t="shared" si="99"/>
        <v>0</v>
      </c>
      <c r="BP151" s="387">
        <f t="shared" si="100"/>
        <v>411.09843999999998</v>
      </c>
      <c r="BQ151" s="387">
        <f t="shared" si="101"/>
        <v>96.143990000000002</v>
      </c>
      <c r="BR151" s="387">
        <f t="shared" si="102"/>
        <v>791.69602800000007</v>
      </c>
      <c r="BS151" s="387">
        <f t="shared" si="103"/>
        <v>47.806770200000003</v>
      </c>
      <c r="BT151" s="387">
        <f t="shared" si="104"/>
        <v>0</v>
      </c>
      <c r="BU151" s="387">
        <f t="shared" si="105"/>
        <v>20.289697199999999</v>
      </c>
      <c r="BV151" s="387">
        <f t="shared" si="106"/>
        <v>92.165617999999995</v>
      </c>
      <c r="BW151" s="387">
        <f t="shared" si="107"/>
        <v>0</v>
      </c>
      <c r="BX151" s="387">
        <f t="shared" si="122"/>
        <v>1459.2005434000002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-32.490037999999998</v>
      </c>
      <c r="CG151" s="387">
        <f t="shared" si="112"/>
        <v>0</v>
      </c>
      <c r="CH151" s="387">
        <f t="shared" si="113"/>
        <v>0</v>
      </c>
      <c r="CI151" s="387">
        <f t="shared" si="114"/>
        <v>0</v>
      </c>
      <c r="CJ151" s="387">
        <f t="shared" si="127"/>
        <v>-32.490037999999998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0450-51</v>
      </c>
    </row>
    <row r="152" spans="1:92" ht="15.75" thickBot="1" x14ac:dyDescent="0.3">
      <c r="A152" s="376" t="s">
        <v>161</v>
      </c>
      <c r="B152" s="376" t="s">
        <v>162</v>
      </c>
      <c r="C152" s="376" t="s">
        <v>605</v>
      </c>
      <c r="D152" s="376" t="s">
        <v>606</v>
      </c>
      <c r="E152" s="376" t="s">
        <v>251</v>
      </c>
      <c r="F152" s="382" t="s">
        <v>728</v>
      </c>
      <c r="G152" s="376" t="s">
        <v>583</v>
      </c>
      <c r="H152" s="378"/>
      <c r="I152" s="378"/>
      <c r="J152" s="376" t="s">
        <v>242</v>
      </c>
      <c r="K152" s="376" t="s">
        <v>607</v>
      </c>
      <c r="L152" s="376" t="s">
        <v>171</v>
      </c>
      <c r="M152" s="376" t="s">
        <v>171</v>
      </c>
      <c r="N152" s="376" t="s">
        <v>172</v>
      </c>
      <c r="O152" s="379">
        <v>1</v>
      </c>
      <c r="P152" s="385">
        <v>0.22</v>
      </c>
      <c r="Q152" s="385">
        <v>0.22</v>
      </c>
      <c r="R152" s="380">
        <v>80</v>
      </c>
      <c r="S152" s="385">
        <v>0.22</v>
      </c>
      <c r="T152" s="380">
        <v>8103.38</v>
      </c>
      <c r="U152" s="380">
        <v>0</v>
      </c>
      <c r="V152" s="380">
        <v>4625.8999999999996</v>
      </c>
      <c r="W152" s="380">
        <v>8342.0400000000009</v>
      </c>
      <c r="X152" s="380">
        <v>4439.7</v>
      </c>
      <c r="Y152" s="380">
        <v>8342.0400000000009</v>
      </c>
      <c r="Z152" s="380">
        <v>4398.82</v>
      </c>
      <c r="AA152" s="376" t="s">
        <v>608</v>
      </c>
      <c r="AB152" s="376" t="s">
        <v>609</v>
      </c>
      <c r="AC152" s="376" t="s">
        <v>610</v>
      </c>
      <c r="AD152" s="376" t="s">
        <v>228</v>
      </c>
      <c r="AE152" s="376" t="s">
        <v>607</v>
      </c>
      <c r="AF152" s="376" t="s">
        <v>589</v>
      </c>
      <c r="AG152" s="376" t="s">
        <v>178</v>
      </c>
      <c r="AH152" s="381">
        <v>18.23</v>
      </c>
      <c r="AI152" s="379">
        <v>45836</v>
      </c>
      <c r="AJ152" s="376" t="s">
        <v>179</v>
      </c>
      <c r="AK152" s="376" t="s">
        <v>180</v>
      </c>
      <c r="AL152" s="376" t="s">
        <v>181</v>
      </c>
      <c r="AM152" s="376" t="s">
        <v>182</v>
      </c>
      <c r="AN152" s="376" t="s">
        <v>68</v>
      </c>
      <c r="AO152" s="379">
        <v>80</v>
      </c>
      <c r="AP152" s="385">
        <v>1</v>
      </c>
      <c r="AQ152" s="385">
        <v>0.22</v>
      </c>
      <c r="AR152" s="383" t="s">
        <v>183</v>
      </c>
      <c r="AS152" s="387">
        <f t="shared" si="115"/>
        <v>0.22</v>
      </c>
      <c r="AT152">
        <f t="shared" si="116"/>
        <v>1</v>
      </c>
      <c r="AU152" s="387">
        <f>IF(AT152=0,"",IF(AND(AT152=1,M152="F",SUMIF(C2:C206,C152,AS2:AS206)&lt;=1),SUMIF(C2:C206,C152,AS2:AS206),IF(AND(AT152=1,M152="F",SUMIF(C2:C206,C152,AS2:AS206)&gt;1),1,"")))</f>
        <v>1</v>
      </c>
      <c r="AV152" s="387" t="str">
        <f>IF(AT152=0,"",IF(AND(AT152=3,M152="F",SUMIF(C2:C206,C152,AS2:AS206)&lt;=1),SUMIF(C2:C206,C152,AS2:AS206),IF(AND(AT152=3,M152="F",SUMIF(C2:C206,C152,AS2:AS206)&gt;1),1,"")))</f>
        <v/>
      </c>
      <c r="AW152" s="387">
        <f>SUMIF(C2:C206,C152,O2:O206)</f>
        <v>2</v>
      </c>
      <c r="AX152" s="387">
        <f>IF(AND(M152="F",AS152&lt;&gt;0),SUMIF(C2:C206,C152,W2:W206),0)</f>
        <v>37918.39</v>
      </c>
      <c r="AY152" s="387">
        <f t="shared" si="117"/>
        <v>8342.0400000000009</v>
      </c>
      <c r="AZ152" s="387" t="str">
        <f t="shared" si="118"/>
        <v/>
      </c>
      <c r="BA152" s="387">
        <f t="shared" si="119"/>
        <v>0</v>
      </c>
      <c r="BB152" s="387">
        <f t="shared" si="88"/>
        <v>2563</v>
      </c>
      <c r="BC152" s="387">
        <f t="shared" si="89"/>
        <v>0</v>
      </c>
      <c r="BD152" s="387">
        <f t="shared" si="90"/>
        <v>517.20648000000006</v>
      </c>
      <c r="BE152" s="387">
        <f t="shared" si="91"/>
        <v>120.95958000000002</v>
      </c>
      <c r="BF152" s="387">
        <f t="shared" si="92"/>
        <v>996.03957600000012</v>
      </c>
      <c r="BG152" s="387">
        <f t="shared" si="93"/>
        <v>60.14610840000001</v>
      </c>
      <c r="BH152" s="387">
        <f t="shared" si="94"/>
        <v>40.875996000000001</v>
      </c>
      <c r="BI152" s="387">
        <f t="shared" si="95"/>
        <v>25.5266424</v>
      </c>
      <c r="BJ152" s="387">
        <f t="shared" si="96"/>
        <v>115.954356</v>
      </c>
      <c r="BK152" s="387">
        <f t="shared" si="97"/>
        <v>0</v>
      </c>
      <c r="BL152" s="387">
        <f t="shared" si="120"/>
        <v>1876.7087388</v>
      </c>
      <c r="BM152" s="387">
        <f t="shared" si="121"/>
        <v>0</v>
      </c>
      <c r="BN152" s="387">
        <f t="shared" si="98"/>
        <v>2563</v>
      </c>
      <c r="BO152" s="387">
        <f t="shared" si="99"/>
        <v>0</v>
      </c>
      <c r="BP152" s="387">
        <f t="shared" si="100"/>
        <v>517.20648000000006</v>
      </c>
      <c r="BQ152" s="387">
        <f t="shared" si="101"/>
        <v>120.95958000000002</v>
      </c>
      <c r="BR152" s="387">
        <f t="shared" si="102"/>
        <v>996.03957600000012</v>
      </c>
      <c r="BS152" s="387">
        <f t="shared" si="103"/>
        <v>60.14610840000001</v>
      </c>
      <c r="BT152" s="387">
        <f t="shared" si="104"/>
        <v>0</v>
      </c>
      <c r="BU152" s="387">
        <f t="shared" si="105"/>
        <v>25.5266424</v>
      </c>
      <c r="BV152" s="387">
        <f t="shared" si="106"/>
        <v>115.954356</v>
      </c>
      <c r="BW152" s="387">
        <f t="shared" si="107"/>
        <v>0</v>
      </c>
      <c r="BX152" s="387">
        <f t="shared" si="122"/>
        <v>1835.8327428</v>
      </c>
      <c r="BY152" s="387">
        <f t="shared" si="123"/>
        <v>0</v>
      </c>
      <c r="BZ152" s="387">
        <f t="shared" si="124"/>
        <v>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0</v>
      </c>
      <c r="CE152" s="387">
        <f t="shared" si="110"/>
        <v>0</v>
      </c>
      <c r="CF152" s="387">
        <f t="shared" si="111"/>
        <v>-40.875996000000001</v>
      </c>
      <c r="CG152" s="387">
        <f t="shared" si="112"/>
        <v>0</v>
      </c>
      <c r="CH152" s="387">
        <f t="shared" si="113"/>
        <v>0</v>
      </c>
      <c r="CI152" s="387">
        <f t="shared" si="114"/>
        <v>0</v>
      </c>
      <c r="CJ152" s="387">
        <f t="shared" si="127"/>
        <v>-40.875996000000001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0450-51</v>
      </c>
    </row>
    <row r="153" spans="1:92" ht="15.75" thickBot="1" x14ac:dyDescent="0.3">
      <c r="A153" s="376" t="s">
        <v>161</v>
      </c>
      <c r="B153" s="376" t="s">
        <v>162</v>
      </c>
      <c r="C153" s="376" t="s">
        <v>611</v>
      </c>
      <c r="D153" s="376" t="s">
        <v>585</v>
      </c>
      <c r="E153" s="376" t="s">
        <v>251</v>
      </c>
      <c r="F153" s="382" t="s">
        <v>728</v>
      </c>
      <c r="G153" s="376" t="s">
        <v>583</v>
      </c>
      <c r="H153" s="378"/>
      <c r="I153" s="378"/>
      <c r="J153" s="376" t="s">
        <v>242</v>
      </c>
      <c r="K153" s="376" t="s">
        <v>586</v>
      </c>
      <c r="L153" s="376" t="s">
        <v>171</v>
      </c>
      <c r="M153" s="376" t="s">
        <v>171</v>
      </c>
      <c r="N153" s="376" t="s">
        <v>172</v>
      </c>
      <c r="O153" s="379">
        <v>1</v>
      </c>
      <c r="P153" s="385">
        <v>0.22</v>
      </c>
      <c r="Q153" s="385">
        <v>0.22</v>
      </c>
      <c r="R153" s="380">
        <v>80</v>
      </c>
      <c r="S153" s="385">
        <v>0.22</v>
      </c>
      <c r="T153" s="380">
        <v>5793.45</v>
      </c>
      <c r="U153" s="380">
        <v>0</v>
      </c>
      <c r="V153" s="380">
        <v>4125.78</v>
      </c>
      <c r="W153" s="380">
        <v>6662.65</v>
      </c>
      <c r="X153" s="380">
        <v>4061.88</v>
      </c>
      <c r="Y153" s="380">
        <v>6662.65</v>
      </c>
      <c r="Z153" s="380">
        <v>4029.24</v>
      </c>
      <c r="AA153" s="376" t="s">
        <v>612</v>
      </c>
      <c r="AB153" s="376" t="s">
        <v>613</v>
      </c>
      <c r="AC153" s="376" t="s">
        <v>614</v>
      </c>
      <c r="AD153" s="376" t="s">
        <v>615</v>
      </c>
      <c r="AE153" s="376" t="s">
        <v>586</v>
      </c>
      <c r="AF153" s="376" t="s">
        <v>589</v>
      </c>
      <c r="AG153" s="376" t="s">
        <v>178</v>
      </c>
      <c r="AH153" s="381">
        <v>14.56</v>
      </c>
      <c r="AI153" s="379">
        <v>2464</v>
      </c>
      <c r="AJ153" s="376" t="s">
        <v>179</v>
      </c>
      <c r="AK153" s="376" t="s">
        <v>180</v>
      </c>
      <c r="AL153" s="376" t="s">
        <v>181</v>
      </c>
      <c r="AM153" s="376" t="s">
        <v>182</v>
      </c>
      <c r="AN153" s="376" t="s">
        <v>68</v>
      </c>
      <c r="AO153" s="379">
        <v>80</v>
      </c>
      <c r="AP153" s="385">
        <v>1</v>
      </c>
      <c r="AQ153" s="385">
        <v>0.22</v>
      </c>
      <c r="AR153" s="383" t="s">
        <v>183</v>
      </c>
      <c r="AS153" s="387">
        <f t="shared" si="115"/>
        <v>0.22</v>
      </c>
      <c r="AT153">
        <f t="shared" si="116"/>
        <v>1</v>
      </c>
      <c r="AU153" s="387">
        <f>IF(AT153=0,"",IF(AND(AT153=1,M153="F",SUMIF(C2:C206,C153,AS2:AS206)&lt;=1),SUMIF(C2:C206,C153,AS2:AS206),IF(AND(AT153=1,M153="F",SUMIF(C2:C206,C153,AS2:AS206)&gt;1),1,"")))</f>
        <v>1</v>
      </c>
      <c r="AV153" s="387" t="str">
        <f>IF(AT153=0,"",IF(AND(AT153=3,M153="F",SUMIF(C2:C206,C153,AS2:AS206)&lt;=1),SUMIF(C2:C206,C153,AS2:AS206),IF(AND(AT153=3,M153="F",SUMIF(C2:C206,C153,AS2:AS206)&gt;1),1,"")))</f>
        <v/>
      </c>
      <c r="AW153" s="387">
        <f>SUMIF(C2:C206,C153,O2:O206)</f>
        <v>2</v>
      </c>
      <c r="AX153" s="387">
        <f>IF(AND(M153="F",AS153&lt;&gt;0),SUMIF(C2:C206,C153,W2:W206),0)</f>
        <v>30284.79</v>
      </c>
      <c r="AY153" s="387">
        <f t="shared" si="117"/>
        <v>6662.65</v>
      </c>
      <c r="AZ153" s="387" t="str">
        <f t="shared" si="118"/>
        <v/>
      </c>
      <c r="BA153" s="387">
        <f t="shared" si="119"/>
        <v>0</v>
      </c>
      <c r="BB153" s="387">
        <f t="shared" si="88"/>
        <v>2563</v>
      </c>
      <c r="BC153" s="387">
        <f t="shared" si="89"/>
        <v>0</v>
      </c>
      <c r="BD153" s="387">
        <f t="shared" si="90"/>
        <v>413.08429999999998</v>
      </c>
      <c r="BE153" s="387">
        <f t="shared" si="91"/>
        <v>96.608424999999997</v>
      </c>
      <c r="BF153" s="387">
        <f t="shared" si="92"/>
        <v>795.52040999999997</v>
      </c>
      <c r="BG153" s="387">
        <f t="shared" si="93"/>
        <v>48.037706499999999</v>
      </c>
      <c r="BH153" s="387">
        <f t="shared" si="94"/>
        <v>32.646984999999994</v>
      </c>
      <c r="BI153" s="387">
        <f t="shared" si="95"/>
        <v>20.387708999999997</v>
      </c>
      <c r="BJ153" s="387">
        <f t="shared" si="96"/>
        <v>92.610834999999994</v>
      </c>
      <c r="BK153" s="387">
        <f t="shared" si="97"/>
        <v>0</v>
      </c>
      <c r="BL153" s="387">
        <f t="shared" si="120"/>
        <v>1498.8963705000001</v>
      </c>
      <c r="BM153" s="387">
        <f t="shared" si="121"/>
        <v>0</v>
      </c>
      <c r="BN153" s="387">
        <f t="shared" si="98"/>
        <v>2563</v>
      </c>
      <c r="BO153" s="387">
        <f t="shared" si="99"/>
        <v>0</v>
      </c>
      <c r="BP153" s="387">
        <f t="shared" si="100"/>
        <v>413.08429999999998</v>
      </c>
      <c r="BQ153" s="387">
        <f t="shared" si="101"/>
        <v>96.608424999999997</v>
      </c>
      <c r="BR153" s="387">
        <f t="shared" si="102"/>
        <v>795.52040999999997</v>
      </c>
      <c r="BS153" s="387">
        <f t="shared" si="103"/>
        <v>48.037706499999999</v>
      </c>
      <c r="BT153" s="387">
        <f t="shared" si="104"/>
        <v>0</v>
      </c>
      <c r="BU153" s="387">
        <f t="shared" si="105"/>
        <v>20.387708999999997</v>
      </c>
      <c r="BV153" s="387">
        <f t="shared" si="106"/>
        <v>92.610834999999994</v>
      </c>
      <c r="BW153" s="387">
        <f t="shared" si="107"/>
        <v>0</v>
      </c>
      <c r="BX153" s="387">
        <f t="shared" si="122"/>
        <v>1466.2493855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-32.646984999999994</v>
      </c>
      <c r="CG153" s="387">
        <f t="shared" si="112"/>
        <v>0</v>
      </c>
      <c r="CH153" s="387">
        <f t="shared" si="113"/>
        <v>0</v>
      </c>
      <c r="CI153" s="387">
        <f t="shared" si="114"/>
        <v>0</v>
      </c>
      <c r="CJ153" s="387">
        <f t="shared" si="127"/>
        <v>-32.646984999999994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0450-51</v>
      </c>
    </row>
    <row r="154" spans="1:92" ht="15.75" thickBot="1" x14ac:dyDescent="0.3">
      <c r="A154" s="376" t="s">
        <v>161</v>
      </c>
      <c r="B154" s="376" t="s">
        <v>162</v>
      </c>
      <c r="C154" s="376" t="s">
        <v>616</v>
      </c>
      <c r="D154" s="376" t="s">
        <v>585</v>
      </c>
      <c r="E154" s="376" t="s">
        <v>251</v>
      </c>
      <c r="F154" s="382" t="s">
        <v>728</v>
      </c>
      <c r="G154" s="376" t="s">
        <v>583</v>
      </c>
      <c r="H154" s="378"/>
      <c r="I154" s="378"/>
      <c r="J154" s="376" t="s">
        <v>242</v>
      </c>
      <c r="K154" s="376" t="s">
        <v>586</v>
      </c>
      <c r="L154" s="376" t="s">
        <v>171</v>
      </c>
      <c r="M154" s="376" t="s">
        <v>171</v>
      </c>
      <c r="N154" s="376" t="s">
        <v>172</v>
      </c>
      <c r="O154" s="379">
        <v>1</v>
      </c>
      <c r="P154" s="385">
        <v>0.22</v>
      </c>
      <c r="Q154" s="385">
        <v>0.22</v>
      </c>
      <c r="R154" s="380">
        <v>80</v>
      </c>
      <c r="S154" s="385">
        <v>0.22</v>
      </c>
      <c r="T154" s="380">
        <v>4561.8500000000004</v>
      </c>
      <c r="U154" s="380">
        <v>69.83</v>
      </c>
      <c r="V154" s="380">
        <v>3349.8</v>
      </c>
      <c r="W154" s="380">
        <v>5857.28</v>
      </c>
      <c r="X154" s="380">
        <v>3880.7</v>
      </c>
      <c r="Y154" s="380">
        <v>5857.28</v>
      </c>
      <c r="Z154" s="380">
        <v>3852</v>
      </c>
      <c r="AA154" s="376" t="s">
        <v>617</v>
      </c>
      <c r="AB154" s="376" t="s">
        <v>618</v>
      </c>
      <c r="AC154" s="376" t="s">
        <v>619</v>
      </c>
      <c r="AD154" s="376" t="s">
        <v>279</v>
      </c>
      <c r="AE154" s="376" t="s">
        <v>586</v>
      </c>
      <c r="AF154" s="376" t="s">
        <v>589</v>
      </c>
      <c r="AG154" s="376" t="s">
        <v>178</v>
      </c>
      <c r="AH154" s="381">
        <v>12.8</v>
      </c>
      <c r="AI154" s="379">
        <v>1110</v>
      </c>
      <c r="AJ154" s="376" t="s">
        <v>179</v>
      </c>
      <c r="AK154" s="376" t="s">
        <v>180</v>
      </c>
      <c r="AL154" s="376" t="s">
        <v>181</v>
      </c>
      <c r="AM154" s="376" t="s">
        <v>182</v>
      </c>
      <c r="AN154" s="376" t="s">
        <v>68</v>
      </c>
      <c r="AO154" s="379">
        <v>80</v>
      </c>
      <c r="AP154" s="385">
        <v>1</v>
      </c>
      <c r="AQ154" s="385">
        <v>0.22</v>
      </c>
      <c r="AR154" s="383" t="s">
        <v>183</v>
      </c>
      <c r="AS154" s="387">
        <f t="shared" si="115"/>
        <v>0.22</v>
      </c>
      <c r="AT154">
        <f t="shared" si="116"/>
        <v>1</v>
      </c>
      <c r="AU154" s="387">
        <f>IF(AT154=0,"",IF(AND(AT154=1,M154="F",SUMIF(C2:C206,C154,AS2:AS206)&lt;=1),SUMIF(C2:C206,C154,AS2:AS206),IF(AND(AT154=1,M154="F",SUMIF(C2:C206,C154,AS2:AS206)&gt;1),1,"")))</f>
        <v>1</v>
      </c>
      <c r="AV154" s="387" t="str">
        <f>IF(AT154=0,"",IF(AND(AT154=3,M154="F",SUMIF(C2:C206,C154,AS2:AS206)&lt;=1),SUMIF(C2:C206,C154,AS2:AS206),IF(AND(AT154=3,M154="F",SUMIF(C2:C206,C154,AS2:AS206)&gt;1),1,"")))</f>
        <v/>
      </c>
      <c r="AW154" s="387">
        <f>SUMIF(C2:C206,C154,O2:O206)</f>
        <v>2</v>
      </c>
      <c r="AX154" s="387">
        <f>IF(AND(M154="F",AS154&lt;&gt;0),SUMIF(C2:C206,C154,W2:W206),0)</f>
        <v>26624</v>
      </c>
      <c r="AY154" s="387">
        <f t="shared" si="117"/>
        <v>5857.28</v>
      </c>
      <c r="AZ154" s="387" t="str">
        <f t="shared" si="118"/>
        <v/>
      </c>
      <c r="BA154" s="387">
        <f t="shared" si="119"/>
        <v>0</v>
      </c>
      <c r="BB154" s="387">
        <f t="shared" si="88"/>
        <v>2563</v>
      </c>
      <c r="BC154" s="387">
        <f t="shared" si="89"/>
        <v>0</v>
      </c>
      <c r="BD154" s="387">
        <f t="shared" si="90"/>
        <v>363.15135999999995</v>
      </c>
      <c r="BE154" s="387">
        <f t="shared" si="91"/>
        <v>84.93056</v>
      </c>
      <c r="BF154" s="387">
        <f t="shared" si="92"/>
        <v>699.35923200000002</v>
      </c>
      <c r="BG154" s="387">
        <f t="shared" si="93"/>
        <v>42.230988799999999</v>
      </c>
      <c r="BH154" s="387">
        <f t="shared" si="94"/>
        <v>28.700671999999997</v>
      </c>
      <c r="BI154" s="387">
        <f t="shared" si="95"/>
        <v>17.923276799999996</v>
      </c>
      <c r="BJ154" s="387">
        <f t="shared" si="96"/>
        <v>81.416191999999995</v>
      </c>
      <c r="BK154" s="387">
        <f t="shared" si="97"/>
        <v>0</v>
      </c>
      <c r="BL154" s="387">
        <f t="shared" si="120"/>
        <v>1317.7122815999996</v>
      </c>
      <c r="BM154" s="387">
        <f t="shared" si="121"/>
        <v>0</v>
      </c>
      <c r="BN154" s="387">
        <f t="shared" si="98"/>
        <v>2563</v>
      </c>
      <c r="BO154" s="387">
        <f t="shared" si="99"/>
        <v>0</v>
      </c>
      <c r="BP154" s="387">
        <f t="shared" si="100"/>
        <v>363.15135999999995</v>
      </c>
      <c r="BQ154" s="387">
        <f t="shared" si="101"/>
        <v>84.93056</v>
      </c>
      <c r="BR154" s="387">
        <f t="shared" si="102"/>
        <v>699.35923200000002</v>
      </c>
      <c r="BS154" s="387">
        <f t="shared" si="103"/>
        <v>42.230988799999999</v>
      </c>
      <c r="BT154" s="387">
        <f t="shared" si="104"/>
        <v>0</v>
      </c>
      <c r="BU154" s="387">
        <f t="shared" si="105"/>
        <v>17.923276799999996</v>
      </c>
      <c r="BV154" s="387">
        <f t="shared" si="106"/>
        <v>81.416191999999995</v>
      </c>
      <c r="BW154" s="387">
        <f t="shared" si="107"/>
        <v>0</v>
      </c>
      <c r="BX154" s="387">
        <f t="shared" si="122"/>
        <v>1289.0116095999997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-28.700671999999997</v>
      </c>
      <c r="CG154" s="387">
        <f t="shared" si="112"/>
        <v>0</v>
      </c>
      <c r="CH154" s="387">
        <f t="shared" si="113"/>
        <v>0</v>
      </c>
      <c r="CI154" s="387">
        <f t="shared" si="114"/>
        <v>0</v>
      </c>
      <c r="CJ154" s="387">
        <f t="shared" si="127"/>
        <v>-28.700671999999997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0450-51</v>
      </c>
    </row>
    <row r="155" spans="1:92" ht="15.75" thickBot="1" x14ac:dyDescent="0.3">
      <c r="A155" s="376" t="s">
        <v>161</v>
      </c>
      <c r="B155" s="376" t="s">
        <v>162</v>
      </c>
      <c r="C155" s="376" t="s">
        <v>462</v>
      </c>
      <c r="D155" s="376" t="s">
        <v>205</v>
      </c>
      <c r="E155" s="376" t="s">
        <v>251</v>
      </c>
      <c r="F155" s="382" t="s">
        <v>728</v>
      </c>
      <c r="G155" s="376" t="s">
        <v>583</v>
      </c>
      <c r="H155" s="378"/>
      <c r="I155" s="378"/>
      <c r="J155" s="376" t="s">
        <v>186</v>
      </c>
      <c r="K155" s="376" t="s">
        <v>206</v>
      </c>
      <c r="L155" s="376" t="s">
        <v>166</v>
      </c>
      <c r="M155" s="376" t="s">
        <v>171</v>
      </c>
      <c r="N155" s="376" t="s">
        <v>208</v>
      </c>
      <c r="O155" s="379">
        <v>0</v>
      </c>
      <c r="P155" s="385">
        <v>0</v>
      </c>
      <c r="Q155" s="385">
        <v>0</v>
      </c>
      <c r="R155" s="380">
        <v>0</v>
      </c>
      <c r="S155" s="385">
        <v>0</v>
      </c>
      <c r="T155" s="380">
        <v>1140</v>
      </c>
      <c r="U155" s="380">
        <v>0</v>
      </c>
      <c r="V155" s="380">
        <v>97.37</v>
      </c>
      <c r="W155" s="380">
        <v>0</v>
      </c>
      <c r="X155" s="380">
        <v>0</v>
      </c>
      <c r="Y155" s="380">
        <v>0</v>
      </c>
      <c r="Z155" s="380">
        <v>0</v>
      </c>
      <c r="AA155" s="378"/>
      <c r="AB155" s="376" t="s">
        <v>45</v>
      </c>
      <c r="AC155" s="376" t="s">
        <v>45</v>
      </c>
      <c r="AD155" s="378"/>
      <c r="AE155" s="378"/>
      <c r="AF155" s="378"/>
      <c r="AG155" s="378"/>
      <c r="AH155" s="379">
        <v>0</v>
      </c>
      <c r="AI155" s="379">
        <v>0</v>
      </c>
      <c r="AJ155" s="378"/>
      <c r="AK155" s="378"/>
      <c r="AL155" s="376" t="s">
        <v>181</v>
      </c>
      <c r="AM155" s="378"/>
      <c r="AN155" s="378"/>
      <c r="AO155" s="379">
        <v>0</v>
      </c>
      <c r="AP155" s="385">
        <v>0</v>
      </c>
      <c r="AQ155" s="385">
        <v>0</v>
      </c>
      <c r="AR155" s="384"/>
      <c r="AS155" s="387">
        <f t="shared" si="115"/>
        <v>0</v>
      </c>
      <c r="AT155">
        <f t="shared" si="116"/>
        <v>0</v>
      </c>
      <c r="AU155" s="387" t="str">
        <f>IF(AT155=0,"",IF(AND(AT155=1,M155="F",SUMIF(C2:C206,C155,AS2:AS206)&lt;=1),SUMIF(C2:C206,C155,AS2:AS206),IF(AND(AT155=1,M155="F",SUMIF(C2:C206,C155,AS2:AS206)&gt;1),1,"")))</f>
        <v/>
      </c>
      <c r="AV155" s="387" t="str">
        <f>IF(AT155=0,"",IF(AND(AT155=3,M155="F",SUMIF(C2:C206,C155,AS2:AS206)&lt;=1),SUMIF(C2:C206,C155,AS2:AS206),IF(AND(AT155=3,M155="F",SUMIF(C2:C206,C155,AS2:AS206)&gt;1),1,"")))</f>
        <v/>
      </c>
      <c r="AW155" s="387">
        <f>SUMIF(C2:C206,C155,O2:O206)</f>
        <v>0</v>
      </c>
      <c r="AX155" s="387">
        <f>IF(AND(M155="F",AS155&lt;&gt;0),SUMIF(C2:C206,C155,W2:W206),0)</f>
        <v>0</v>
      </c>
      <c r="AY155" s="387" t="str">
        <f t="shared" si="117"/>
        <v/>
      </c>
      <c r="AZ155" s="387" t="str">
        <f t="shared" si="118"/>
        <v/>
      </c>
      <c r="BA155" s="387">
        <f t="shared" si="119"/>
        <v>0</v>
      </c>
      <c r="BB155" s="387">
        <f t="shared" si="88"/>
        <v>0</v>
      </c>
      <c r="BC155" s="387">
        <f t="shared" si="89"/>
        <v>0</v>
      </c>
      <c r="BD155" s="387">
        <f t="shared" si="90"/>
        <v>0</v>
      </c>
      <c r="BE155" s="387">
        <f t="shared" si="91"/>
        <v>0</v>
      </c>
      <c r="BF155" s="387">
        <f t="shared" si="92"/>
        <v>0</v>
      </c>
      <c r="BG155" s="387">
        <f t="shared" si="93"/>
        <v>0</v>
      </c>
      <c r="BH155" s="387">
        <f t="shared" si="94"/>
        <v>0</v>
      </c>
      <c r="BI155" s="387">
        <f t="shared" si="95"/>
        <v>0</v>
      </c>
      <c r="BJ155" s="387">
        <f t="shared" si="96"/>
        <v>0</v>
      </c>
      <c r="BK155" s="387">
        <f t="shared" si="97"/>
        <v>0</v>
      </c>
      <c r="BL155" s="387">
        <f t="shared" si="120"/>
        <v>0</v>
      </c>
      <c r="BM155" s="387">
        <f t="shared" si="121"/>
        <v>0</v>
      </c>
      <c r="BN155" s="387">
        <f t="shared" si="98"/>
        <v>0</v>
      </c>
      <c r="BO155" s="387">
        <f t="shared" si="99"/>
        <v>0</v>
      </c>
      <c r="BP155" s="387">
        <f t="shared" si="100"/>
        <v>0</v>
      </c>
      <c r="BQ155" s="387">
        <f t="shared" si="101"/>
        <v>0</v>
      </c>
      <c r="BR155" s="387">
        <f t="shared" si="102"/>
        <v>0</v>
      </c>
      <c r="BS155" s="387">
        <f t="shared" si="103"/>
        <v>0</v>
      </c>
      <c r="BT155" s="387">
        <f t="shared" si="104"/>
        <v>0</v>
      </c>
      <c r="BU155" s="387">
        <f t="shared" si="105"/>
        <v>0</v>
      </c>
      <c r="BV155" s="387">
        <f t="shared" si="106"/>
        <v>0</v>
      </c>
      <c r="BW155" s="387">
        <f t="shared" si="107"/>
        <v>0</v>
      </c>
      <c r="BX155" s="387">
        <f t="shared" si="122"/>
        <v>0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0</v>
      </c>
      <c r="CG155" s="387">
        <f t="shared" si="112"/>
        <v>0</v>
      </c>
      <c r="CH155" s="387">
        <f t="shared" si="113"/>
        <v>0</v>
      </c>
      <c r="CI155" s="387">
        <f t="shared" si="114"/>
        <v>0</v>
      </c>
      <c r="CJ155" s="387">
        <f t="shared" si="127"/>
        <v>0</v>
      </c>
      <c r="CK155" s="387" t="str">
        <f t="shared" si="128"/>
        <v/>
      </c>
      <c r="CL155" s="387">
        <f t="shared" si="129"/>
        <v>1140</v>
      </c>
      <c r="CM155" s="387">
        <f t="shared" si="130"/>
        <v>97.37</v>
      </c>
      <c r="CN155" s="387" t="str">
        <f t="shared" si="131"/>
        <v>0450-51</v>
      </c>
    </row>
    <row r="156" spans="1:92" ht="15.75" thickBot="1" x14ac:dyDescent="0.3">
      <c r="A156" s="376" t="s">
        <v>161</v>
      </c>
      <c r="B156" s="376" t="s">
        <v>162</v>
      </c>
      <c r="C156" s="376" t="s">
        <v>620</v>
      </c>
      <c r="D156" s="376" t="s">
        <v>585</v>
      </c>
      <c r="E156" s="376" t="s">
        <v>251</v>
      </c>
      <c r="F156" s="382" t="s">
        <v>728</v>
      </c>
      <c r="G156" s="376" t="s">
        <v>583</v>
      </c>
      <c r="H156" s="378"/>
      <c r="I156" s="378"/>
      <c r="J156" s="376" t="s">
        <v>242</v>
      </c>
      <c r="K156" s="376" t="s">
        <v>586</v>
      </c>
      <c r="L156" s="376" t="s">
        <v>171</v>
      </c>
      <c r="M156" s="376" t="s">
        <v>171</v>
      </c>
      <c r="N156" s="376" t="s">
        <v>172</v>
      </c>
      <c r="O156" s="379">
        <v>1</v>
      </c>
      <c r="P156" s="385">
        <v>0.22</v>
      </c>
      <c r="Q156" s="385">
        <v>0.22</v>
      </c>
      <c r="R156" s="380">
        <v>80</v>
      </c>
      <c r="S156" s="385">
        <v>0.22</v>
      </c>
      <c r="T156" s="380">
        <v>6345.42</v>
      </c>
      <c r="U156" s="380">
        <v>0</v>
      </c>
      <c r="V156" s="380">
        <v>4292.08</v>
      </c>
      <c r="W156" s="380">
        <v>6740.44</v>
      </c>
      <c r="X156" s="380">
        <v>4079.39</v>
      </c>
      <c r="Y156" s="380">
        <v>6740.44</v>
      </c>
      <c r="Z156" s="380">
        <v>4046.36</v>
      </c>
      <c r="AA156" s="376" t="s">
        <v>621</v>
      </c>
      <c r="AB156" s="376" t="s">
        <v>622</v>
      </c>
      <c r="AC156" s="376" t="s">
        <v>623</v>
      </c>
      <c r="AD156" s="376" t="s">
        <v>624</v>
      </c>
      <c r="AE156" s="376" t="s">
        <v>586</v>
      </c>
      <c r="AF156" s="376" t="s">
        <v>589</v>
      </c>
      <c r="AG156" s="376" t="s">
        <v>178</v>
      </c>
      <c r="AH156" s="381">
        <v>14.73</v>
      </c>
      <c r="AI156" s="379">
        <v>2360</v>
      </c>
      <c r="AJ156" s="376" t="s">
        <v>179</v>
      </c>
      <c r="AK156" s="376" t="s">
        <v>180</v>
      </c>
      <c r="AL156" s="376" t="s">
        <v>181</v>
      </c>
      <c r="AM156" s="376" t="s">
        <v>182</v>
      </c>
      <c r="AN156" s="376" t="s">
        <v>68</v>
      </c>
      <c r="AO156" s="379">
        <v>80</v>
      </c>
      <c r="AP156" s="385">
        <v>1</v>
      </c>
      <c r="AQ156" s="385">
        <v>0.22</v>
      </c>
      <c r="AR156" s="383" t="s">
        <v>183</v>
      </c>
      <c r="AS156" s="387">
        <f t="shared" si="115"/>
        <v>0.22</v>
      </c>
      <c r="AT156">
        <f t="shared" si="116"/>
        <v>1</v>
      </c>
      <c r="AU156" s="387">
        <f>IF(AT156=0,"",IF(AND(AT156=1,M156="F",SUMIF(C2:C206,C156,AS2:AS206)&lt;=1),SUMIF(C2:C206,C156,AS2:AS206),IF(AND(AT156=1,M156="F",SUMIF(C2:C206,C156,AS2:AS206)&gt;1),1,"")))</f>
        <v>1</v>
      </c>
      <c r="AV156" s="387" t="str">
        <f>IF(AT156=0,"",IF(AND(AT156=3,M156="F",SUMIF(C2:C206,C156,AS2:AS206)&lt;=1),SUMIF(C2:C206,C156,AS2:AS206),IF(AND(AT156=3,M156="F",SUMIF(C2:C206,C156,AS2:AS206)&gt;1),1,"")))</f>
        <v/>
      </c>
      <c r="AW156" s="387">
        <f>SUMIF(C2:C206,C156,O2:O206)</f>
        <v>2</v>
      </c>
      <c r="AX156" s="387">
        <f>IF(AND(M156="F",AS156&lt;&gt;0),SUMIF(C2:C206,C156,W2:W206),0)</f>
        <v>30638.39</v>
      </c>
      <c r="AY156" s="387">
        <f t="shared" si="117"/>
        <v>6740.44</v>
      </c>
      <c r="AZ156" s="387" t="str">
        <f t="shared" si="118"/>
        <v/>
      </c>
      <c r="BA156" s="387">
        <f t="shared" si="119"/>
        <v>0</v>
      </c>
      <c r="BB156" s="387">
        <f t="shared" si="88"/>
        <v>2563</v>
      </c>
      <c r="BC156" s="387">
        <f t="shared" si="89"/>
        <v>0</v>
      </c>
      <c r="BD156" s="387">
        <f t="shared" si="90"/>
        <v>417.90727999999996</v>
      </c>
      <c r="BE156" s="387">
        <f t="shared" si="91"/>
        <v>97.736379999999997</v>
      </c>
      <c r="BF156" s="387">
        <f t="shared" si="92"/>
        <v>804.808536</v>
      </c>
      <c r="BG156" s="387">
        <f t="shared" si="93"/>
        <v>48.598572400000002</v>
      </c>
      <c r="BH156" s="387">
        <f t="shared" si="94"/>
        <v>33.028155999999996</v>
      </c>
      <c r="BI156" s="387">
        <f t="shared" si="95"/>
        <v>20.625746399999997</v>
      </c>
      <c r="BJ156" s="387">
        <f t="shared" si="96"/>
        <v>93.692115999999984</v>
      </c>
      <c r="BK156" s="387">
        <f t="shared" si="97"/>
        <v>0</v>
      </c>
      <c r="BL156" s="387">
        <f t="shared" si="120"/>
        <v>1516.3967868</v>
      </c>
      <c r="BM156" s="387">
        <f t="shared" si="121"/>
        <v>0</v>
      </c>
      <c r="BN156" s="387">
        <f t="shared" si="98"/>
        <v>2563</v>
      </c>
      <c r="BO156" s="387">
        <f t="shared" si="99"/>
        <v>0</v>
      </c>
      <c r="BP156" s="387">
        <f t="shared" si="100"/>
        <v>417.90727999999996</v>
      </c>
      <c r="BQ156" s="387">
        <f t="shared" si="101"/>
        <v>97.736379999999997</v>
      </c>
      <c r="BR156" s="387">
        <f t="shared" si="102"/>
        <v>804.808536</v>
      </c>
      <c r="BS156" s="387">
        <f t="shared" si="103"/>
        <v>48.598572400000002</v>
      </c>
      <c r="BT156" s="387">
        <f t="shared" si="104"/>
        <v>0</v>
      </c>
      <c r="BU156" s="387">
        <f t="shared" si="105"/>
        <v>20.625746399999997</v>
      </c>
      <c r="BV156" s="387">
        <f t="shared" si="106"/>
        <v>93.692115999999984</v>
      </c>
      <c r="BW156" s="387">
        <f t="shared" si="107"/>
        <v>0</v>
      </c>
      <c r="BX156" s="387">
        <f t="shared" si="122"/>
        <v>1483.3686307999999</v>
      </c>
      <c r="BY156" s="387">
        <f t="shared" si="123"/>
        <v>0</v>
      </c>
      <c r="BZ156" s="387">
        <f t="shared" si="124"/>
        <v>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0</v>
      </c>
      <c r="CE156" s="387">
        <f t="shared" si="110"/>
        <v>0</v>
      </c>
      <c r="CF156" s="387">
        <f t="shared" si="111"/>
        <v>-33.028155999999996</v>
      </c>
      <c r="CG156" s="387">
        <f t="shared" si="112"/>
        <v>0</v>
      </c>
      <c r="CH156" s="387">
        <f t="shared" si="113"/>
        <v>0</v>
      </c>
      <c r="CI156" s="387">
        <f t="shared" si="114"/>
        <v>0</v>
      </c>
      <c r="CJ156" s="387">
        <f t="shared" si="127"/>
        <v>-33.028155999999996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0450-51</v>
      </c>
    </row>
    <row r="157" spans="1:92" ht="15.75" thickBot="1" x14ac:dyDescent="0.3">
      <c r="A157" s="376" t="s">
        <v>161</v>
      </c>
      <c r="B157" s="376" t="s">
        <v>162</v>
      </c>
      <c r="C157" s="376" t="s">
        <v>625</v>
      </c>
      <c r="D157" s="376" t="s">
        <v>585</v>
      </c>
      <c r="E157" s="376" t="s">
        <v>251</v>
      </c>
      <c r="F157" s="382" t="s">
        <v>728</v>
      </c>
      <c r="G157" s="376" t="s">
        <v>583</v>
      </c>
      <c r="H157" s="378"/>
      <c r="I157" s="378"/>
      <c r="J157" s="376" t="s">
        <v>242</v>
      </c>
      <c r="K157" s="376" t="s">
        <v>586</v>
      </c>
      <c r="L157" s="376" t="s">
        <v>171</v>
      </c>
      <c r="M157" s="376" t="s">
        <v>171</v>
      </c>
      <c r="N157" s="376" t="s">
        <v>172</v>
      </c>
      <c r="O157" s="379">
        <v>1</v>
      </c>
      <c r="P157" s="385">
        <v>0.22</v>
      </c>
      <c r="Q157" s="385">
        <v>0.22</v>
      </c>
      <c r="R157" s="380">
        <v>80</v>
      </c>
      <c r="S157" s="385">
        <v>0.22</v>
      </c>
      <c r="T157" s="380">
        <v>6063.69</v>
      </c>
      <c r="U157" s="380">
        <v>0</v>
      </c>
      <c r="V157" s="380">
        <v>4169.75</v>
      </c>
      <c r="W157" s="380">
        <v>5857.28</v>
      </c>
      <c r="X157" s="380">
        <v>3880.7</v>
      </c>
      <c r="Y157" s="380">
        <v>5857.28</v>
      </c>
      <c r="Z157" s="380">
        <v>3852</v>
      </c>
      <c r="AA157" s="376" t="s">
        <v>626</v>
      </c>
      <c r="AB157" s="376" t="s">
        <v>627</v>
      </c>
      <c r="AC157" s="376" t="s">
        <v>569</v>
      </c>
      <c r="AD157" s="376" t="s">
        <v>570</v>
      </c>
      <c r="AE157" s="376" t="s">
        <v>586</v>
      </c>
      <c r="AF157" s="376" t="s">
        <v>589</v>
      </c>
      <c r="AG157" s="376" t="s">
        <v>178</v>
      </c>
      <c r="AH157" s="381">
        <v>12.8</v>
      </c>
      <c r="AI157" s="379">
        <v>880</v>
      </c>
      <c r="AJ157" s="376" t="s">
        <v>179</v>
      </c>
      <c r="AK157" s="376" t="s">
        <v>180</v>
      </c>
      <c r="AL157" s="376" t="s">
        <v>181</v>
      </c>
      <c r="AM157" s="376" t="s">
        <v>182</v>
      </c>
      <c r="AN157" s="376" t="s">
        <v>68</v>
      </c>
      <c r="AO157" s="379">
        <v>80</v>
      </c>
      <c r="AP157" s="385">
        <v>1</v>
      </c>
      <c r="AQ157" s="385">
        <v>0.22</v>
      </c>
      <c r="AR157" s="383" t="s">
        <v>183</v>
      </c>
      <c r="AS157" s="387">
        <f t="shared" si="115"/>
        <v>0.22</v>
      </c>
      <c r="AT157">
        <f t="shared" si="116"/>
        <v>1</v>
      </c>
      <c r="AU157" s="387">
        <f>IF(AT157=0,"",IF(AND(AT157=1,M157="F",SUMIF(C2:C206,C157,AS2:AS206)&lt;=1),SUMIF(C2:C206,C157,AS2:AS206),IF(AND(AT157=1,M157="F",SUMIF(C2:C206,C157,AS2:AS206)&gt;1),1,"")))</f>
        <v>1</v>
      </c>
      <c r="AV157" s="387" t="str">
        <f>IF(AT157=0,"",IF(AND(AT157=3,M157="F",SUMIF(C2:C206,C157,AS2:AS206)&lt;=1),SUMIF(C2:C206,C157,AS2:AS206),IF(AND(AT157=3,M157="F",SUMIF(C2:C206,C157,AS2:AS206)&gt;1),1,"")))</f>
        <v/>
      </c>
      <c r="AW157" s="387">
        <f>SUMIF(C2:C206,C157,O2:O206)</f>
        <v>2</v>
      </c>
      <c r="AX157" s="387">
        <f>IF(AND(M157="F",AS157&lt;&gt;0),SUMIF(C2:C206,C157,W2:W206),0)</f>
        <v>26624</v>
      </c>
      <c r="AY157" s="387">
        <f t="shared" si="117"/>
        <v>5857.28</v>
      </c>
      <c r="AZ157" s="387" t="str">
        <f t="shared" si="118"/>
        <v/>
      </c>
      <c r="BA157" s="387">
        <f t="shared" si="119"/>
        <v>0</v>
      </c>
      <c r="BB157" s="387">
        <f t="shared" si="88"/>
        <v>2563</v>
      </c>
      <c r="BC157" s="387">
        <f t="shared" si="89"/>
        <v>0</v>
      </c>
      <c r="BD157" s="387">
        <f t="shared" si="90"/>
        <v>363.15135999999995</v>
      </c>
      <c r="BE157" s="387">
        <f t="shared" si="91"/>
        <v>84.93056</v>
      </c>
      <c r="BF157" s="387">
        <f t="shared" si="92"/>
        <v>699.35923200000002</v>
      </c>
      <c r="BG157" s="387">
        <f t="shared" si="93"/>
        <v>42.230988799999999</v>
      </c>
      <c r="BH157" s="387">
        <f t="shared" si="94"/>
        <v>28.700671999999997</v>
      </c>
      <c r="BI157" s="387">
        <f t="shared" si="95"/>
        <v>17.923276799999996</v>
      </c>
      <c r="BJ157" s="387">
        <f t="shared" si="96"/>
        <v>81.416191999999995</v>
      </c>
      <c r="BK157" s="387">
        <f t="shared" si="97"/>
        <v>0</v>
      </c>
      <c r="BL157" s="387">
        <f t="shared" si="120"/>
        <v>1317.7122815999996</v>
      </c>
      <c r="BM157" s="387">
        <f t="shared" si="121"/>
        <v>0</v>
      </c>
      <c r="BN157" s="387">
        <f t="shared" si="98"/>
        <v>2563</v>
      </c>
      <c r="BO157" s="387">
        <f t="shared" si="99"/>
        <v>0</v>
      </c>
      <c r="BP157" s="387">
        <f t="shared" si="100"/>
        <v>363.15135999999995</v>
      </c>
      <c r="BQ157" s="387">
        <f t="shared" si="101"/>
        <v>84.93056</v>
      </c>
      <c r="BR157" s="387">
        <f t="shared" si="102"/>
        <v>699.35923200000002</v>
      </c>
      <c r="BS157" s="387">
        <f t="shared" si="103"/>
        <v>42.230988799999999</v>
      </c>
      <c r="BT157" s="387">
        <f t="shared" si="104"/>
        <v>0</v>
      </c>
      <c r="BU157" s="387">
        <f t="shared" si="105"/>
        <v>17.923276799999996</v>
      </c>
      <c r="BV157" s="387">
        <f t="shared" si="106"/>
        <v>81.416191999999995</v>
      </c>
      <c r="BW157" s="387">
        <f t="shared" si="107"/>
        <v>0</v>
      </c>
      <c r="BX157" s="387">
        <f t="shared" si="122"/>
        <v>1289.0116095999997</v>
      </c>
      <c r="BY157" s="387">
        <f t="shared" si="123"/>
        <v>0</v>
      </c>
      <c r="BZ157" s="387">
        <f t="shared" si="124"/>
        <v>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0</v>
      </c>
      <c r="CE157" s="387">
        <f t="shared" si="110"/>
        <v>0</v>
      </c>
      <c r="CF157" s="387">
        <f t="shared" si="111"/>
        <v>-28.700671999999997</v>
      </c>
      <c r="CG157" s="387">
        <f t="shared" si="112"/>
        <v>0</v>
      </c>
      <c r="CH157" s="387">
        <f t="shared" si="113"/>
        <v>0</v>
      </c>
      <c r="CI157" s="387">
        <f t="shared" si="114"/>
        <v>0</v>
      </c>
      <c r="CJ157" s="387">
        <f t="shared" si="127"/>
        <v>-28.700671999999997</v>
      </c>
      <c r="CK157" s="387" t="str">
        <f t="shared" si="128"/>
        <v/>
      </c>
      <c r="CL157" s="387" t="str">
        <f t="shared" si="129"/>
        <v/>
      </c>
      <c r="CM157" s="387" t="str">
        <f t="shared" si="130"/>
        <v/>
      </c>
      <c r="CN157" s="387" t="str">
        <f t="shared" si="131"/>
        <v>0450-51</v>
      </c>
    </row>
    <row r="158" spans="1:92" ht="15.75" thickBot="1" x14ac:dyDescent="0.3">
      <c r="A158" s="376" t="s">
        <v>161</v>
      </c>
      <c r="B158" s="376" t="s">
        <v>162</v>
      </c>
      <c r="C158" s="376" t="s">
        <v>639</v>
      </c>
      <c r="D158" s="376" t="s">
        <v>585</v>
      </c>
      <c r="E158" s="376" t="s">
        <v>251</v>
      </c>
      <c r="F158" s="382" t="s">
        <v>728</v>
      </c>
      <c r="G158" s="376" t="s">
        <v>583</v>
      </c>
      <c r="H158" s="378"/>
      <c r="I158" s="378"/>
      <c r="J158" s="376" t="s">
        <v>242</v>
      </c>
      <c r="K158" s="376" t="s">
        <v>586</v>
      </c>
      <c r="L158" s="376" t="s">
        <v>171</v>
      </c>
      <c r="M158" s="376" t="s">
        <v>207</v>
      </c>
      <c r="N158" s="376" t="s">
        <v>172</v>
      </c>
      <c r="O158" s="379">
        <v>0</v>
      </c>
      <c r="P158" s="385">
        <v>0.22</v>
      </c>
      <c r="Q158" s="385">
        <v>0.22</v>
      </c>
      <c r="R158" s="380">
        <v>80</v>
      </c>
      <c r="S158" s="385">
        <v>0.22</v>
      </c>
      <c r="T158" s="380">
        <v>5621.88</v>
      </c>
      <c r="U158" s="380">
        <v>0</v>
      </c>
      <c r="V158" s="380">
        <v>3748.66</v>
      </c>
      <c r="W158" s="380">
        <v>5408.83</v>
      </c>
      <c r="X158" s="380">
        <v>2369.06</v>
      </c>
      <c r="Y158" s="380">
        <v>5408.83</v>
      </c>
      <c r="Z158" s="380">
        <v>2342.02</v>
      </c>
      <c r="AA158" s="378"/>
      <c r="AB158" s="376" t="s">
        <v>45</v>
      </c>
      <c r="AC158" s="376" t="s">
        <v>45</v>
      </c>
      <c r="AD158" s="378"/>
      <c r="AE158" s="378"/>
      <c r="AF158" s="378"/>
      <c r="AG158" s="378"/>
      <c r="AH158" s="379">
        <v>0</v>
      </c>
      <c r="AI158" s="379">
        <v>0</v>
      </c>
      <c r="AJ158" s="378"/>
      <c r="AK158" s="378"/>
      <c r="AL158" s="376" t="s">
        <v>181</v>
      </c>
      <c r="AM158" s="378"/>
      <c r="AN158" s="378"/>
      <c r="AO158" s="379">
        <v>0</v>
      </c>
      <c r="AP158" s="385">
        <v>0</v>
      </c>
      <c r="AQ158" s="385">
        <v>0</v>
      </c>
      <c r="AR158" s="384"/>
      <c r="AS158" s="387">
        <f t="shared" si="115"/>
        <v>0</v>
      </c>
      <c r="AT158">
        <f t="shared" si="116"/>
        <v>0</v>
      </c>
      <c r="AU158" s="387" t="str">
        <f>IF(AT158=0,"",IF(AND(AT158=1,M158="F",SUMIF(C2:C206,C158,AS2:AS206)&lt;=1),SUMIF(C2:C206,C158,AS2:AS206),IF(AND(AT158=1,M158="F",SUMIF(C2:C206,C158,AS2:AS206)&gt;1),1,"")))</f>
        <v/>
      </c>
      <c r="AV158" s="387" t="str">
        <f>IF(AT158=0,"",IF(AND(AT158=3,M158="F",SUMIF(C2:C206,C158,AS2:AS206)&lt;=1),SUMIF(C2:C206,C158,AS2:AS206),IF(AND(AT158=3,M158="F",SUMIF(C2:C206,C158,AS2:AS206)&gt;1),1,"")))</f>
        <v/>
      </c>
      <c r="AW158" s="387">
        <f>SUMIF(C2:C206,C158,O2:O206)</f>
        <v>0</v>
      </c>
      <c r="AX158" s="387">
        <f>IF(AND(M158="F",AS158&lt;&gt;0),SUMIF(C2:C206,C158,W2:W206),0)</f>
        <v>0</v>
      </c>
      <c r="AY158" s="387" t="str">
        <f t="shared" si="117"/>
        <v/>
      </c>
      <c r="AZ158" s="387" t="str">
        <f t="shared" si="118"/>
        <v/>
      </c>
      <c r="BA158" s="387">
        <f t="shared" si="119"/>
        <v>0</v>
      </c>
      <c r="BB158" s="387">
        <f t="shared" si="88"/>
        <v>0</v>
      </c>
      <c r="BC158" s="387">
        <f t="shared" si="89"/>
        <v>0</v>
      </c>
      <c r="BD158" s="387">
        <f t="shared" si="90"/>
        <v>0</v>
      </c>
      <c r="BE158" s="387">
        <f t="shared" si="91"/>
        <v>0</v>
      </c>
      <c r="BF158" s="387">
        <f t="shared" si="92"/>
        <v>0</v>
      </c>
      <c r="BG158" s="387">
        <f t="shared" si="93"/>
        <v>0</v>
      </c>
      <c r="BH158" s="387">
        <f t="shared" si="94"/>
        <v>0</v>
      </c>
      <c r="BI158" s="387">
        <f t="shared" si="95"/>
        <v>0</v>
      </c>
      <c r="BJ158" s="387">
        <f t="shared" si="96"/>
        <v>0</v>
      </c>
      <c r="BK158" s="387">
        <f t="shared" si="97"/>
        <v>0</v>
      </c>
      <c r="BL158" s="387">
        <f t="shared" si="120"/>
        <v>0</v>
      </c>
      <c r="BM158" s="387">
        <f t="shared" si="121"/>
        <v>0</v>
      </c>
      <c r="BN158" s="387">
        <f t="shared" si="98"/>
        <v>0</v>
      </c>
      <c r="BO158" s="387">
        <f t="shared" si="99"/>
        <v>0</v>
      </c>
      <c r="BP158" s="387">
        <f t="shared" si="100"/>
        <v>0</v>
      </c>
      <c r="BQ158" s="387">
        <f t="shared" si="101"/>
        <v>0</v>
      </c>
      <c r="BR158" s="387">
        <f t="shared" si="102"/>
        <v>0</v>
      </c>
      <c r="BS158" s="387">
        <f t="shared" si="103"/>
        <v>0</v>
      </c>
      <c r="BT158" s="387">
        <f t="shared" si="104"/>
        <v>0</v>
      </c>
      <c r="BU158" s="387">
        <f t="shared" si="105"/>
        <v>0</v>
      </c>
      <c r="BV158" s="387">
        <f t="shared" si="106"/>
        <v>0</v>
      </c>
      <c r="BW158" s="387">
        <f t="shared" si="107"/>
        <v>0</v>
      </c>
      <c r="BX158" s="387">
        <f t="shared" si="122"/>
        <v>0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0</v>
      </c>
      <c r="CG158" s="387">
        <f t="shared" si="112"/>
        <v>0</v>
      </c>
      <c r="CH158" s="387">
        <f t="shared" si="113"/>
        <v>0</v>
      </c>
      <c r="CI158" s="387">
        <f t="shared" si="114"/>
        <v>0</v>
      </c>
      <c r="CJ158" s="387">
        <f t="shared" si="127"/>
        <v>0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0450-51</v>
      </c>
    </row>
    <row r="159" spans="1:92" ht="15.75" thickBot="1" x14ac:dyDescent="0.3">
      <c r="A159" s="376" t="s">
        <v>161</v>
      </c>
      <c r="B159" s="376" t="s">
        <v>162</v>
      </c>
      <c r="C159" s="376" t="s">
        <v>628</v>
      </c>
      <c r="D159" s="376" t="s">
        <v>320</v>
      </c>
      <c r="E159" s="376" t="s">
        <v>251</v>
      </c>
      <c r="F159" s="382" t="s">
        <v>728</v>
      </c>
      <c r="G159" s="376" t="s">
        <v>583</v>
      </c>
      <c r="H159" s="378"/>
      <c r="I159" s="378"/>
      <c r="J159" s="376" t="s">
        <v>242</v>
      </c>
      <c r="K159" s="376" t="s">
        <v>629</v>
      </c>
      <c r="L159" s="376" t="s">
        <v>283</v>
      </c>
      <c r="M159" s="376" t="s">
        <v>171</v>
      </c>
      <c r="N159" s="376" t="s">
        <v>172</v>
      </c>
      <c r="O159" s="379">
        <v>1</v>
      </c>
      <c r="P159" s="385">
        <v>0.22</v>
      </c>
      <c r="Q159" s="385">
        <v>0.22</v>
      </c>
      <c r="R159" s="380">
        <v>80</v>
      </c>
      <c r="S159" s="385">
        <v>0.22</v>
      </c>
      <c r="T159" s="380">
        <v>14454.32</v>
      </c>
      <c r="U159" s="380">
        <v>0</v>
      </c>
      <c r="V159" s="380">
        <v>5898.8</v>
      </c>
      <c r="W159" s="380">
        <v>14707.26</v>
      </c>
      <c r="X159" s="380">
        <v>5871.68</v>
      </c>
      <c r="Y159" s="380">
        <v>14707.26</v>
      </c>
      <c r="Z159" s="380">
        <v>5799.62</v>
      </c>
      <c r="AA159" s="376" t="s">
        <v>630</v>
      </c>
      <c r="AB159" s="376" t="s">
        <v>631</v>
      </c>
      <c r="AC159" s="376" t="s">
        <v>632</v>
      </c>
      <c r="AD159" s="376" t="s">
        <v>564</v>
      </c>
      <c r="AE159" s="376" t="s">
        <v>629</v>
      </c>
      <c r="AF159" s="376" t="s">
        <v>288</v>
      </c>
      <c r="AG159" s="376" t="s">
        <v>178</v>
      </c>
      <c r="AH159" s="381">
        <v>32.14</v>
      </c>
      <c r="AI159" s="381">
        <v>15222.5</v>
      </c>
      <c r="AJ159" s="376" t="s">
        <v>179</v>
      </c>
      <c r="AK159" s="376" t="s">
        <v>180</v>
      </c>
      <c r="AL159" s="376" t="s">
        <v>181</v>
      </c>
      <c r="AM159" s="376" t="s">
        <v>182</v>
      </c>
      <c r="AN159" s="376" t="s">
        <v>68</v>
      </c>
      <c r="AO159" s="379">
        <v>80</v>
      </c>
      <c r="AP159" s="385">
        <v>1</v>
      </c>
      <c r="AQ159" s="385">
        <v>0.22</v>
      </c>
      <c r="AR159" s="383" t="s">
        <v>183</v>
      </c>
      <c r="AS159" s="387">
        <f t="shared" si="115"/>
        <v>0.22</v>
      </c>
      <c r="AT159">
        <f t="shared" si="116"/>
        <v>1</v>
      </c>
      <c r="AU159" s="387">
        <f>IF(AT159=0,"",IF(AND(AT159=1,M159="F",SUMIF(C2:C206,C159,AS2:AS206)&lt;=1),SUMIF(C2:C206,C159,AS2:AS206),IF(AND(AT159=1,M159="F",SUMIF(C2:C206,C159,AS2:AS206)&gt;1),1,"")))</f>
        <v>1</v>
      </c>
      <c r="AV159" s="387" t="str">
        <f>IF(AT159=0,"",IF(AND(AT159=3,M159="F",SUMIF(C2:C206,C159,AS2:AS206)&lt;=1),SUMIF(C2:C206,C159,AS2:AS206),IF(AND(AT159=3,M159="F",SUMIF(C2:C206,C159,AS2:AS206)&gt;1),1,"")))</f>
        <v/>
      </c>
      <c r="AW159" s="387">
        <f>SUMIF(C2:C206,C159,O2:O206)</f>
        <v>2</v>
      </c>
      <c r="AX159" s="387">
        <f>IF(AND(M159="F",AS159&lt;&gt;0),SUMIF(C2:C206,C159,W2:W206),0)</f>
        <v>66851.19</v>
      </c>
      <c r="AY159" s="387">
        <f t="shared" si="117"/>
        <v>14707.26</v>
      </c>
      <c r="AZ159" s="387" t="str">
        <f t="shared" si="118"/>
        <v/>
      </c>
      <c r="BA159" s="387">
        <f t="shared" si="119"/>
        <v>0</v>
      </c>
      <c r="BB159" s="387">
        <f t="shared" si="88"/>
        <v>2563</v>
      </c>
      <c r="BC159" s="387">
        <f t="shared" si="89"/>
        <v>0</v>
      </c>
      <c r="BD159" s="387">
        <f t="shared" si="90"/>
        <v>911.85012000000006</v>
      </c>
      <c r="BE159" s="387">
        <f t="shared" si="91"/>
        <v>213.25527000000002</v>
      </c>
      <c r="BF159" s="387">
        <f t="shared" si="92"/>
        <v>1756.0468440000002</v>
      </c>
      <c r="BG159" s="387">
        <f t="shared" si="93"/>
        <v>106.03934460000001</v>
      </c>
      <c r="BH159" s="387">
        <f t="shared" si="94"/>
        <v>72.065573999999998</v>
      </c>
      <c r="BI159" s="387">
        <f t="shared" si="95"/>
        <v>45.004215599999995</v>
      </c>
      <c r="BJ159" s="387">
        <f t="shared" si="96"/>
        <v>204.430914</v>
      </c>
      <c r="BK159" s="387">
        <f t="shared" si="97"/>
        <v>0</v>
      </c>
      <c r="BL159" s="387">
        <f t="shared" si="120"/>
        <v>3308.6922822000001</v>
      </c>
      <c r="BM159" s="387">
        <f t="shared" si="121"/>
        <v>0</v>
      </c>
      <c r="BN159" s="387">
        <f t="shared" si="98"/>
        <v>2563</v>
      </c>
      <c r="BO159" s="387">
        <f t="shared" si="99"/>
        <v>0</v>
      </c>
      <c r="BP159" s="387">
        <f t="shared" si="100"/>
        <v>911.85012000000006</v>
      </c>
      <c r="BQ159" s="387">
        <f t="shared" si="101"/>
        <v>213.25527000000002</v>
      </c>
      <c r="BR159" s="387">
        <f t="shared" si="102"/>
        <v>1756.0468440000002</v>
      </c>
      <c r="BS159" s="387">
        <f t="shared" si="103"/>
        <v>106.03934460000001</v>
      </c>
      <c r="BT159" s="387">
        <f t="shared" si="104"/>
        <v>0</v>
      </c>
      <c r="BU159" s="387">
        <f t="shared" si="105"/>
        <v>45.004215599999995</v>
      </c>
      <c r="BV159" s="387">
        <f t="shared" si="106"/>
        <v>204.430914</v>
      </c>
      <c r="BW159" s="387">
        <f t="shared" si="107"/>
        <v>0</v>
      </c>
      <c r="BX159" s="387">
        <f t="shared" si="122"/>
        <v>3236.6267081999999</v>
      </c>
      <c r="BY159" s="387">
        <f t="shared" si="123"/>
        <v>0</v>
      </c>
      <c r="BZ159" s="387">
        <f t="shared" si="124"/>
        <v>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0</v>
      </c>
      <c r="CE159" s="387">
        <f t="shared" si="110"/>
        <v>0</v>
      </c>
      <c r="CF159" s="387">
        <f t="shared" si="111"/>
        <v>-72.065573999999998</v>
      </c>
      <c r="CG159" s="387">
        <f t="shared" si="112"/>
        <v>0</v>
      </c>
      <c r="CH159" s="387">
        <f t="shared" si="113"/>
        <v>0</v>
      </c>
      <c r="CI159" s="387">
        <f t="shared" si="114"/>
        <v>0</v>
      </c>
      <c r="CJ159" s="387">
        <f t="shared" si="127"/>
        <v>-72.065573999999998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0450-51</v>
      </c>
    </row>
    <row r="160" spans="1:92" ht="15.75" thickBot="1" x14ac:dyDescent="0.3">
      <c r="A160" s="376" t="s">
        <v>161</v>
      </c>
      <c r="B160" s="376" t="s">
        <v>162</v>
      </c>
      <c r="C160" s="376" t="s">
        <v>633</v>
      </c>
      <c r="D160" s="376" t="s">
        <v>634</v>
      </c>
      <c r="E160" s="376" t="s">
        <v>251</v>
      </c>
      <c r="F160" s="382" t="s">
        <v>728</v>
      </c>
      <c r="G160" s="376" t="s">
        <v>583</v>
      </c>
      <c r="H160" s="378"/>
      <c r="I160" s="378"/>
      <c r="J160" s="376" t="s">
        <v>242</v>
      </c>
      <c r="K160" s="376" t="s">
        <v>635</v>
      </c>
      <c r="L160" s="376" t="s">
        <v>526</v>
      </c>
      <c r="M160" s="376" t="s">
        <v>171</v>
      </c>
      <c r="N160" s="376" t="s">
        <v>172</v>
      </c>
      <c r="O160" s="379">
        <v>1</v>
      </c>
      <c r="P160" s="385">
        <v>0.22</v>
      </c>
      <c r="Q160" s="385">
        <v>0.22</v>
      </c>
      <c r="R160" s="380">
        <v>80</v>
      </c>
      <c r="S160" s="385">
        <v>0.22</v>
      </c>
      <c r="T160" s="380">
        <v>7564.23</v>
      </c>
      <c r="U160" s="380">
        <v>0</v>
      </c>
      <c r="V160" s="380">
        <v>4543.3100000000004</v>
      </c>
      <c r="W160" s="380">
        <v>8012.57</v>
      </c>
      <c r="X160" s="380">
        <v>4365.58</v>
      </c>
      <c r="Y160" s="380">
        <v>8012.57</v>
      </c>
      <c r="Z160" s="380">
        <v>4326.3100000000004</v>
      </c>
      <c r="AA160" s="376" t="s">
        <v>636</v>
      </c>
      <c r="AB160" s="376" t="s">
        <v>637</v>
      </c>
      <c r="AC160" s="376" t="s">
        <v>638</v>
      </c>
      <c r="AD160" s="376" t="s">
        <v>236</v>
      </c>
      <c r="AE160" s="376" t="s">
        <v>635</v>
      </c>
      <c r="AF160" s="376" t="s">
        <v>529</v>
      </c>
      <c r="AG160" s="376" t="s">
        <v>178</v>
      </c>
      <c r="AH160" s="381">
        <v>17.510000000000002</v>
      </c>
      <c r="AI160" s="379">
        <v>6672</v>
      </c>
      <c r="AJ160" s="376" t="s">
        <v>179</v>
      </c>
      <c r="AK160" s="376" t="s">
        <v>180</v>
      </c>
      <c r="AL160" s="376" t="s">
        <v>181</v>
      </c>
      <c r="AM160" s="376" t="s">
        <v>182</v>
      </c>
      <c r="AN160" s="376" t="s">
        <v>68</v>
      </c>
      <c r="AO160" s="379">
        <v>80</v>
      </c>
      <c r="AP160" s="385">
        <v>1</v>
      </c>
      <c r="AQ160" s="385">
        <v>0.22</v>
      </c>
      <c r="AR160" s="383" t="s">
        <v>183</v>
      </c>
      <c r="AS160" s="387">
        <f t="shared" si="115"/>
        <v>0.22</v>
      </c>
      <c r="AT160">
        <f t="shared" si="116"/>
        <v>1</v>
      </c>
      <c r="AU160" s="387">
        <f>IF(AT160=0,"",IF(AND(AT160=1,M160="F",SUMIF(C2:C206,C160,AS2:AS206)&lt;=1),SUMIF(C2:C206,C160,AS2:AS206),IF(AND(AT160=1,M160="F",SUMIF(C2:C206,C160,AS2:AS206)&gt;1),1,"")))</f>
        <v>1</v>
      </c>
      <c r="AV160" s="387" t="str">
        <f>IF(AT160=0,"",IF(AND(AT160=3,M160="F",SUMIF(C2:C206,C160,AS2:AS206)&lt;=1),SUMIF(C2:C206,C160,AS2:AS206),IF(AND(AT160=3,M160="F",SUMIF(C2:C206,C160,AS2:AS206)&gt;1),1,"")))</f>
        <v/>
      </c>
      <c r="AW160" s="387">
        <f>SUMIF(C2:C206,C160,O2:O206)</f>
        <v>2</v>
      </c>
      <c r="AX160" s="387">
        <f>IF(AND(M160="F",AS160&lt;&gt;0),SUMIF(C2:C206,C160,W2:W206),0)</f>
        <v>36420.79</v>
      </c>
      <c r="AY160" s="387">
        <f t="shared" si="117"/>
        <v>8012.57</v>
      </c>
      <c r="AZ160" s="387" t="str">
        <f t="shared" si="118"/>
        <v/>
      </c>
      <c r="BA160" s="387">
        <f t="shared" si="119"/>
        <v>0</v>
      </c>
      <c r="BB160" s="387">
        <f t="shared" si="88"/>
        <v>2563</v>
      </c>
      <c r="BC160" s="387">
        <f t="shared" si="89"/>
        <v>0</v>
      </c>
      <c r="BD160" s="387">
        <f t="shared" si="90"/>
        <v>496.77933999999999</v>
      </c>
      <c r="BE160" s="387">
        <f t="shared" si="91"/>
        <v>116.182265</v>
      </c>
      <c r="BF160" s="387">
        <f t="shared" si="92"/>
        <v>956.70085800000004</v>
      </c>
      <c r="BG160" s="387">
        <f t="shared" si="93"/>
        <v>57.770629700000001</v>
      </c>
      <c r="BH160" s="387">
        <f t="shared" si="94"/>
        <v>39.261592999999998</v>
      </c>
      <c r="BI160" s="387">
        <f t="shared" si="95"/>
        <v>24.518464199999997</v>
      </c>
      <c r="BJ160" s="387">
        <f t="shared" si="96"/>
        <v>111.37472299999999</v>
      </c>
      <c r="BK160" s="387">
        <f t="shared" si="97"/>
        <v>0</v>
      </c>
      <c r="BL160" s="387">
        <f t="shared" si="120"/>
        <v>1802.5878728999999</v>
      </c>
      <c r="BM160" s="387">
        <f t="shared" si="121"/>
        <v>0</v>
      </c>
      <c r="BN160" s="387">
        <f t="shared" si="98"/>
        <v>2563</v>
      </c>
      <c r="BO160" s="387">
        <f t="shared" si="99"/>
        <v>0</v>
      </c>
      <c r="BP160" s="387">
        <f t="shared" si="100"/>
        <v>496.77933999999999</v>
      </c>
      <c r="BQ160" s="387">
        <f t="shared" si="101"/>
        <v>116.182265</v>
      </c>
      <c r="BR160" s="387">
        <f t="shared" si="102"/>
        <v>956.70085800000004</v>
      </c>
      <c r="BS160" s="387">
        <f t="shared" si="103"/>
        <v>57.770629700000001</v>
      </c>
      <c r="BT160" s="387">
        <f t="shared" si="104"/>
        <v>0</v>
      </c>
      <c r="BU160" s="387">
        <f t="shared" si="105"/>
        <v>24.518464199999997</v>
      </c>
      <c r="BV160" s="387">
        <f t="shared" si="106"/>
        <v>111.37472299999999</v>
      </c>
      <c r="BW160" s="387">
        <f t="shared" si="107"/>
        <v>0</v>
      </c>
      <c r="BX160" s="387">
        <f t="shared" si="122"/>
        <v>1763.3262798999999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-39.261592999999998</v>
      </c>
      <c r="CG160" s="387">
        <f t="shared" si="112"/>
        <v>0</v>
      </c>
      <c r="CH160" s="387">
        <f t="shared" si="113"/>
        <v>0</v>
      </c>
      <c r="CI160" s="387">
        <f t="shared" si="114"/>
        <v>0</v>
      </c>
      <c r="CJ160" s="387">
        <f t="shared" si="127"/>
        <v>-39.261592999999998</v>
      </c>
      <c r="CK160" s="387" t="str">
        <f t="shared" si="128"/>
        <v/>
      </c>
      <c r="CL160" s="387" t="str">
        <f t="shared" si="129"/>
        <v/>
      </c>
      <c r="CM160" s="387" t="str">
        <f t="shared" si="130"/>
        <v/>
      </c>
      <c r="CN160" s="387" t="str">
        <f t="shared" si="131"/>
        <v>0450-51</v>
      </c>
    </row>
    <row r="161" spans="1:92" ht="15.75" thickBot="1" x14ac:dyDescent="0.3">
      <c r="A161" s="376" t="s">
        <v>161</v>
      </c>
      <c r="B161" s="376" t="s">
        <v>162</v>
      </c>
      <c r="C161" s="376" t="s">
        <v>729</v>
      </c>
      <c r="D161" s="376" t="s">
        <v>730</v>
      </c>
      <c r="E161" s="376" t="s">
        <v>251</v>
      </c>
      <c r="F161" s="382" t="s">
        <v>728</v>
      </c>
      <c r="G161" s="376" t="s">
        <v>583</v>
      </c>
      <c r="H161" s="378"/>
      <c r="I161" s="378"/>
      <c r="J161" s="376" t="s">
        <v>186</v>
      </c>
      <c r="K161" s="376" t="s">
        <v>731</v>
      </c>
      <c r="L161" s="376" t="s">
        <v>178</v>
      </c>
      <c r="M161" s="376" t="s">
        <v>171</v>
      </c>
      <c r="N161" s="376" t="s">
        <v>172</v>
      </c>
      <c r="O161" s="379">
        <v>1</v>
      </c>
      <c r="P161" s="385">
        <v>1</v>
      </c>
      <c r="Q161" s="385">
        <v>1</v>
      </c>
      <c r="R161" s="380">
        <v>80</v>
      </c>
      <c r="S161" s="385">
        <v>1</v>
      </c>
      <c r="T161" s="380">
        <v>37090.400000000001</v>
      </c>
      <c r="U161" s="380">
        <v>0</v>
      </c>
      <c r="V161" s="380">
        <v>20619.71</v>
      </c>
      <c r="W161" s="380">
        <v>38396.800000000003</v>
      </c>
      <c r="X161" s="380">
        <v>20288.099999999999</v>
      </c>
      <c r="Y161" s="380">
        <v>38396.800000000003</v>
      </c>
      <c r="Z161" s="380">
        <v>20099.96</v>
      </c>
      <c r="AA161" s="376" t="s">
        <v>732</v>
      </c>
      <c r="AB161" s="376" t="s">
        <v>733</v>
      </c>
      <c r="AC161" s="376" t="s">
        <v>286</v>
      </c>
      <c r="AD161" s="376" t="s">
        <v>651</v>
      </c>
      <c r="AE161" s="376" t="s">
        <v>731</v>
      </c>
      <c r="AF161" s="376" t="s">
        <v>250</v>
      </c>
      <c r="AG161" s="376" t="s">
        <v>178</v>
      </c>
      <c r="AH161" s="381">
        <v>18.46</v>
      </c>
      <c r="AI161" s="381">
        <v>60138.1</v>
      </c>
      <c r="AJ161" s="376" t="s">
        <v>179</v>
      </c>
      <c r="AK161" s="376" t="s">
        <v>180</v>
      </c>
      <c r="AL161" s="376" t="s">
        <v>181</v>
      </c>
      <c r="AM161" s="376" t="s">
        <v>182</v>
      </c>
      <c r="AN161" s="376" t="s">
        <v>68</v>
      </c>
      <c r="AO161" s="379">
        <v>80</v>
      </c>
      <c r="AP161" s="385">
        <v>1</v>
      </c>
      <c r="AQ161" s="385">
        <v>1</v>
      </c>
      <c r="AR161" s="383" t="s">
        <v>183</v>
      </c>
      <c r="AS161" s="387">
        <f t="shared" si="115"/>
        <v>1</v>
      </c>
      <c r="AT161">
        <f t="shared" si="116"/>
        <v>1</v>
      </c>
      <c r="AU161" s="387">
        <f>IF(AT161=0,"",IF(AND(AT161=1,M161="F",SUMIF(C2:C206,C161,AS2:AS206)&lt;=1),SUMIF(C2:C206,C161,AS2:AS206),IF(AND(AT161=1,M161="F",SUMIF(C2:C206,C161,AS2:AS206)&gt;1),1,"")))</f>
        <v>1</v>
      </c>
      <c r="AV161" s="387" t="str">
        <f>IF(AT161=0,"",IF(AND(AT161=3,M161="F",SUMIF(C2:C206,C161,AS2:AS206)&lt;=1),SUMIF(C2:C206,C161,AS2:AS206),IF(AND(AT161=3,M161="F",SUMIF(C2:C206,C161,AS2:AS206)&gt;1),1,"")))</f>
        <v/>
      </c>
      <c r="AW161" s="387">
        <f>SUMIF(C2:C206,C161,O2:O206)</f>
        <v>1</v>
      </c>
      <c r="AX161" s="387">
        <f>IF(AND(M161="F",AS161&lt;&gt;0),SUMIF(C2:C206,C161,W2:W206),0)</f>
        <v>38396.800000000003</v>
      </c>
      <c r="AY161" s="387">
        <f t="shared" si="117"/>
        <v>38396.800000000003</v>
      </c>
      <c r="AZ161" s="387" t="str">
        <f t="shared" si="118"/>
        <v/>
      </c>
      <c r="BA161" s="387">
        <f t="shared" si="119"/>
        <v>0</v>
      </c>
      <c r="BB161" s="387">
        <f t="shared" si="88"/>
        <v>11650</v>
      </c>
      <c r="BC161" s="387">
        <f t="shared" si="89"/>
        <v>0</v>
      </c>
      <c r="BD161" s="387">
        <f t="shared" si="90"/>
        <v>2380.6016</v>
      </c>
      <c r="BE161" s="387">
        <f t="shared" si="91"/>
        <v>556.75360000000012</v>
      </c>
      <c r="BF161" s="387">
        <f t="shared" si="92"/>
        <v>4584.5779200000006</v>
      </c>
      <c r="BG161" s="387">
        <f t="shared" si="93"/>
        <v>276.84092800000002</v>
      </c>
      <c r="BH161" s="387">
        <f t="shared" si="94"/>
        <v>188.14432000000002</v>
      </c>
      <c r="BI161" s="387">
        <f t="shared" si="95"/>
        <v>117.494208</v>
      </c>
      <c r="BJ161" s="387">
        <f t="shared" si="96"/>
        <v>533.71551999999997</v>
      </c>
      <c r="BK161" s="387">
        <f t="shared" si="97"/>
        <v>0</v>
      </c>
      <c r="BL161" s="387">
        <f t="shared" si="120"/>
        <v>8638.1280960000004</v>
      </c>
      <c r="BM161" s="387">
        <f t="shared" si="121"/>
        <v>0</v>
      </c>
      <c r="BN161" s="387">
        <f t="shared" si="98"/>
        <v>11650</v>
      </c>
      <c r="BO161" s="387">
        <f t="shared" si="99"/>
        <v>0</v>
      </c>
      <c r="BP161" s="387">
        <f t="shared" si="100"/>
        <v>2380.6016</v>
      </c>
      <c r="BQ161" s="387">
        <f t="shared" si="101"/>
        <v>556.75360000000012</v>
      </c>
      <c r="BR161" s="387">
        <f t="shared" si="102"/>
        <v>4584.5779200000006</v>
      </c>
      <c r="BS161" s="387">
        <f t="shared" si="103"/>
        <v>276.84092800000002</v>
      </c>
      <c r="BT161" s="387">
        <f t="shared" si="104"/>
        <v>0</v>
      </c>
      <c r="BU161" s="387">
        <f t="shared" si="105"/>
        <v>117.494208</v>
      </c>
      <c r="BV161" s="387">
        <f t="shared" si="106"/>
        <v>533.71551999999997</v>
      </c>
      <c r="BW161" s="387">
        <f t="shared" si="107"/>
        <v>0</v>
      </c>
      <c r="BX161" s="387">
        <f t="shared" si="122"/>
        <v>8449.9837760000009</v>
      </c>
      <c r="BY161" s="387">
        <f t="shared" si="123"/>
        <v>0</v>
      </c>
      <c r="BZ161" s="387">
        <f t="shared" si="124"/>
        <v>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0</v>
      </c>
      <c r="CE161" s="387">
        <f t="shared" si="110"/>
        <v>0</v>
      </c>
      <c r="CF161" s="387">
        <f t="shared" si="111"/>
        <v>-188.14432000000002</v>
      </c>
      <c r="CG161" s="387">
        <f t="shared" si="112"/>
        <v>0</v>
      </c>
      <c r="CH161" s="387">
        <f t="shared" si="113"/>
        <v>0</v>
      </c>
      <c r="CI161" s="387">
        <f t="shared" si="114"/>
        <v>0</v>
      </c>
      <c r="CJ161" s="387">
        <f t="shared" si="127"/>
        <v>-188.14432000000002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0450-51</v>
      </c>
    </row>
    <row r="162" spans="1:92" ht="15.75" thickBot="1" x14ac:dyDescent="0.3">
      <c r="A162" s="376" t="s">
        <v>161</v>
      </c>
      <c r="B162" s="376" t="s">
        <v>162</v>
      </c>
      <c r="C162" s="376" t="s">
        <v>734</v>
      </c>
      <c r="D162" s="376" t="s">
        <v>735</v>
      </c>
      <c r="E162" s="376" t="s">
        <v>251</v>
      </c>
      <c r="F162" s="382" t="s">
        <v>728</v>
      </c>
      <c r="G162" s="376" t="s">
        <v>583</v>
      </c>
      <c r="H162" s="378"/>
      <c r="I162" s="378"/>
      <c r="J162" s="376" t="s">
        <v>186</v>
      </c>
      <c r="K162" s="376" t="s">
        <v>736</v>
      </c>
      <c r="L162" s="376" t="s">
        <v>526</v>
      </c>
      <c r="M162" s="376" t="s">
        <v>171</v>
      </c>
      <c r="N162" s="376" t="s">
        <v>172</v>
      </c>
      <c r="O162" s="379">
        <v>1</v>
      </c>
      <c r="P162" s="385">
        <v>1</v>
      </c>
      <c r="Q162" s="385">
        <v>1</v>
      </c>
      <c r="R162" s="380">
        <v>80</v>
      </c>
      <c r="S162" s="385">
        <v>1</v>
      </c>
      <c r="T162" s="380">
        <v>33683.199999999997</v>
      </c>
      <c r="U162" s="380">
        <v>8.06</v>
      </c>
      <c r="V162" s="380">
        <v>19842.259999999998</v>
      </c>
      <c r="W162" s="380">
        <v>34860.800000000003</v>
      </c>
      <c r="X162" s="380">
        <v>19492.59</v>
      </c>
      <c r="Y162" s="380">
        <v>34860.800000000003</v>
      </c>
      <c r="Z162" s="380">
        <v>19321.78</v>
      </c>
      <c r="AA162" s="376" t="s">
        <v>737</v>
      </c>
      <c r="AB162" s="376" t="s">
        <v>738</v>
      </c>
      <c r="AC162" s="376" t="s">
        <v>273</v>
      </c>
      <c r="AD162" s="376" t="s">
        <v>299</v>
      </c>
      <c r="AE162" s="376" t="s">
        <v>736</v>
      </c>
      <c r="AF162" s="376" t="s">
        <v>529</v>
      </c>
      <c r="AG162" s="376" t="s">
        <v>178</v>
      </c>
      <c r="AH162" s="381">
        <v>16.760000000000002</v>
      </c>
      <c r="AI162" s="381">
        <v>12986.5</v>
      </c>
      <c r="AJ162" s="376" t="s">
        <v>179</v>
      </c>
      <c r="AK162" s="376" t="s">
        <v>180</v>
      </c>
      <c r="AL162" s="376" t="s">
        <v>181</v>
      </c>
      <c r="AM162" s="376" t="s">
        <v>182</v>
      </c>
      <c r="AN162" s="376" t="s">
        <v>68</v>
      </c>
      <c r="AO162" s="379">
        <v>80</v>
      </c>
      <c r="AP162" s="385">
        <v>1</v>
      </c>
      <c r="AQ162" s="385">
        <v>1</v>
      </c>
      <c r="AR162" s="383" t="s">
        <v>183</v>
      </c>
      <c r="AS162" s="387">
        <f t="shared" si="115"/>
        <v>1</v>
      </c>
      <c r="AT162">
        <f t="shared" si="116"/>
        <v>1</v>
      </c>
      <c r="AU162" s="387">
        <f>IF(AT162=0,"",IF(AND(AT162=1,M162="F",SUMIF(C2:C206,C162,AS2:AS206)&lt;=1),SUMIF(C2:C206,C162,AS2:AS206),IF(AND(AT162=1,M162="F",SUMIF(C2:C206,C162,AS2:AS206)&gt;1),1,"")))</f>
        <v>1</v>
      </c>
      <c r="AV162" s="387" t="str">
        <f>IF(AT162=0,"",IF(AND(AT162=3,M162="F",SUMIF(C2:C206,C162,AS2:AS206)&lt;=1),SUMIF(C2:C206,C162,AS2:AS206),IF(AND(AT162=3,M162="F",SUMIF(C2:C206,C162,AS2:AS206)&gt;1),1,"")))</f>
        <v/>
      </c>
      <c r="AW162" s="387">
        <f>SUMIF(C2:C206,C162,O2:O206)</f>
        <v>1</v>
      </c>
      <c r="AX162" s="387">
        <f>IF(AND(M162="F",AS162&lt;&gt;0),SUMIF(C2:C206,C162,W2:W206),0)</f>
        <v>34860.800000000003</v>
      </c>
      <c r="AY162" s="387">
        <f t="shared" si="117"/>
        <v>34860.800000000003</v>
      </c>
      <c r="AZ162" s="387" t="str">
        <f t="shared" si="118"/>
        <v/>
      </c>
      <c r="BA162" s="387">
        <f t="shared" si="119"/>
        <v>0</v>
      </c>
      <c r="BB162" s="387">
        <f t="shared" si="88"/>
        <v>11650</v>
      </c>
      <c r="BC162" s="387">
        <f t="shared" si="89"/>
        <v>0</v>
      </c>
      <c r="BD162" s="387">
        <f t="shared" si="90"/>
        <v>2161.3696</v>
      </c>
      <c r="BE162" s="387">
        <f t="shared" si="91"/>
        <v>505.48160000000007</v>
      </c>
      <c r="BF162" s="387">
        <f t="shared" si="92"/>
        <v>4162.3795200000004</v>
      </c>
      <c r="BG162" s="387">
        <f t="shared" si="93"/>
        <v>251.34636800000004</v>
      </c>
      <c r="BH162" s="387">
        <f t="shared" si="94"/>
        <v>170.81792000000002</v>
      </c>
      <c r="BI162" s="387">
        <f t="shared" si="95"/>
        <v>106.674048</v>
      </c>
      <c r="BJ162" s="387">
        <f t="shared" si="96"/>
        <v>484.56512000000004</v>
      </c>
      <c r="BK162" s="387">
        <f t="shared" si="97"/>
        <v>0</v>
      </c>
      <c r="BL162" s="387">
        <f t="shared" si="120"/>
        <v>7842.6341760000014</v>
      </c>
      <c r="BM162" s="387">
        <f t="shared" si="121"/>
        <v>0</v>
      </c>
      <c r="BN162" s="387">
        <f t="shared" si="98"/>
        <v>11650</v>
      </c>
      <c r="BO162" s="387">
        <f t="shared" si="99"/>
        <v>0</v>
      </c>
      <c r="BP162" s="387">
        <f t="shared" si="100"/>
        <v>2161.3696</v>
      </c>
      <c r="BQ162" s="387">
        <f t="shared" si="101"/>
        <v>505.48160000000007</v>
      </c>
      <c r="BR162" s="387">
        <f t="shared" si="102"/>
        <v>4162.3795200000004</v>
      </c>
      <c r="BS162" s="387">
        <f t="shared" si="103"/>
        <v>251.34636800000004</v>
      </c>
      <c r="BT162" s="387">
        <f t="shared" si="104"/>
        <v>0</v>
      </c>
      <c r="BU162" s="387">
        <f t="shared" si="105"/>
        <v>106.674048</v>
      </c>
      <c r="BV162" s="387">
        <f t="shared" si="106"/>
        <v>484.56512000000004</v>
      </c>
      <c r="BW162" s="387">
        <f t="shared" si="107"/>
        <v>0</v>
      </c>
      <c r="BX162" s="387">
        <f t="shared" si="122"/>
        <v>7671.816256000001</v>
      </c>
      <c r="BY162" s="387">
        <f t="shared" si="123"/>
        <v>0</v>
      </c>
      <c r="BZ162" s="387">
        <f t="shared" si="124"/>
        <v>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0</v>
      </c>
      <c r="CE162" s="387">
        <f t="shared" si="110"/>
        <v>0</v>
      </c>
      <c r="CF162" s="387">
        <f t="shared" si="111"/>
        <v>-170.81792000000002</v>
      </c>
      <c r="CG162" s="387">
        <f t="shared" si="112"/>
        <v>0</v>
      </c>
      <c r="CH162" s="387">
        <f t="shared" si="113"/>
        <v>0</v>
      </c>
      <c r="CI162" s="387">
        <f t="shared" si="114"/>
        <v>0</v>
      </c>
      <c r="CJ162" s="387">
        <f t="shared" si="127"/>
        <v>-170.81792000000002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0450-51</v>
      </c>
    </row>
    <row r="163" spans="1:92" ht="15.75" thickBot="1" x14ac:dyDescent="0.3">
      <c r="A163" s="376" t="s">
        <v>161</v>
      </c>
      <c r="B163" s="376" t="s">
        <v>162</v>
      </c>
      <c r="C163" s="376" t="s">
        <v>739</v>
      </c>
      <c r="D163" s="376" t="s">
        <v>205</v>
      </c>
      <c r="E163" s="376" t="s">
        <v>251</v>
      </c>
      <c r="F163" s="382" t="s">
        <v>728</v>
      </c>
      <c r="G163" s="376" t="s">
        <v>583</v>
      </c>
      <c r="H163" s="378"/>
      <c r="I163" s="378"/>
      <c r="J163" s="376" t="s">
        <v>186</v>
      </c>
      <c r="K163" s="376" t="s">
        <v>206</v>
      </c>
      <c r="L163" s="376" t="s">
        <v>166</v>
      </c>
      <c r="M163" s="376" t="s">
        <v>207</v>
      </c>
      <c r="N163" s="376" t="s">
        <v>208</v>
      </c>
      <c r="O163" s="379">
        <v>0</v>
      </c>
      <c r="P163" s="385">
        <v>1</v>
      </c>
      <c r="Q163" s="385">
        <v>0</v>
      </c>
      <c r="R163" s="380">
        <v>0</v>
      </c>
      <c r="S163" s="385">
        <v>0</v>
      </c>
      <c r="T163" s="380">
        <v>0</v>
      </c>
      <c r="U163" s="380">
        <v>0</v>
      </c>
      <c r="V163" s="380">
        <v>0</v>
      </c>
      <c r="W163" s="380">
        <v>0</v>
      </c>
      <c r="X163" s="380">
        <v>0</v>
      </c>
      <c r="Y163" s="380">
        <v>0</v>
      </c>
      <c r="Z163" s="380">
        <v>0</v>
      </c>
      <c r="AA163" s="378"/>
      <c r="AB163" s="376" t="s">
        <v>45</v>
      </c>
      <c r="AC163" s="376" t="s">
        <v>45</v>
      </c>
      <c r="AD163" s="378"/>
      <c r="AE163" s="378"/>
      <c r="AF163" s="378"/>
      <c r="AG163" s="378"/>
      <c r="AH163" s="379">
        <v>0</v>
      </c>
      <c r="AI163" s="379">
        <v>0</v>
      </c>
      <c r="AJ163" s="378"/>
      <c r="AK163" s="378"/>
      <c r="AL163" s="376" t="s">
        <v>181</v>
      </c>
      <c r="AM163" s="378"/>
      <c r="AN163" s="378"/>
      <c r="AO163" s="379">
        <v>0</v>
      </c>
      <c r="AP163" s="385">
        <v>0</v>
      </c>
      <c r="AQ163" s="385">
        <v>0</v>
      </c>
      <c r="AR163" s="384"/>
      <c r="AS163" s="387">
        <f t="shared" si="115"/>
        <v>0</v>
      </c>
      <c r="AT163">
        <f t="shared" si="116"/>
        <v>0</v>
      </c>
      <c r="AU163" s="387" t="str">
        <f>IF(AT163=0,"",IF(AND(AT163=1,M163="F",SUMIF(C2:C206,C163,AS2:AS206)&lt;=1),SUMIF(C2:C206,C163,AS2:AS206),IF(AND(AT163=1,M163="F",SUMIF(C2:C206,C163,AS2:AS206)&gt;1),1,"")))</f>
        <v/>
      </c>
      <c r="AV163" s="387" t="str">
        <f>IF(AT163=0,"",IF(AND(AT163=3,M163="F",SUMIF(C2:C206,C163,AS2:AS206)&lt;=1),SUMIF(C2:C206,C163,AS2:AS206),IF(AND(AT163=3,M163="F",SUMIF(C2:C206,C163,AS2:AS206)&gt;1),1,"")))</f>
        <v/>
      </c>
      <c r="AW163" s="387">
        <f>SUMIF(C2:C206,C163,O2:O206)</f>
        <v>0</v>
      </c>
      <c r="AX163" s="387">
        <f>IF(AND(M163="F",AS163&lt;&gt;0),SUMIF(C2:C206,C163,W2:W206),0)</f>
        <v>0</v>
      </c>
      <c r="AY163" s="387" t="str">
        <f t="shared" si="117"/>
        <v/>
      </c>
      <c r="AZ163" s="387" t="str">
        <f t="shared" si="118"/>
        <v/>
      </c>
      <c r="BA163" s="387">
        <f t="shared" si="119"/>
        <v>0</v>
      </c>
      <c r="BB163" s="387">
        <f t="shared" si="88"/>
        <v>0</v>
      </c>
      <c r="BC163" s="387">
        <f t="shared" si="89"/>
        <v>0</v>
      </c>
      <c r="BD163" s="387">
        <f t="shared" si="90"/>
        <v>0</v>
      </c>
      <c r="BE163" s="387">
        <f t="shared" si="91"/>
        <v>0</v>
      </c>
      <c r="BF163" s="387">
        <f t="shared" si="92"/>
        <v>0</v>
      </c>
      <c r="BG163" s="387">
        <f t="shared" si="93"/>
        <v>0</v>
      </c>
      <c r="BH163" s="387">
        <f t="shared" si="94"/>
        <v>0</v>
      </c>
      <c r="BI163" s="387">
        <f t="shared" si="95"/>
        <v>0</v>
      </c>
      <c r="BJ163" s="387">
        <f t="shared" si="96"/>
        <v>0</v>
      </c>
      <c r="BK163" s="387">
        <f t="shared" si="97"/>
        <v>0</v>
      </c>
      <c r="BL163" s="387">
        <f t="shared" si="120"/>
        <v>0</v>
      </c>
      <c r="BM163" s="387">
        <f t="shared" si="121"/>
        <v>0</v>
      </c>
      <c r="BN163" s="387">
        <f t="shared" si="98"/>
        <v>0</v>
      </c>
      <c r="BO163" s="387">
        <f t="shared" si="99"/>
        <v>0</v>
      </c>
      <c r="BP163" s="387">
        <f t="shared" si="100"/>
        <v>0</v>
      </c>
      <c r="BQ163" s="387">
        <f t="shared" si="101"/>
        <v>0</v>
      </c>
      <c r="BR163" s="387">
        <f t="shared" si="102"/>
        <v>0</v>
      </c>
      <c r="BS163" s="387">
        <f t="shared" si="103"/>
        <v>0</v>
      </c>
      <c r="BT163" s="387">
        <f t="shared" si="104"/>
        <v>0</v>
      </c>
      <c r="BU163" s="387">
        <f t="shared" si="105"/>
        <v>0</v>
      </c>
      <c r="BV163" s="387">
        <f t="shared" si="106"/>
        <v>0</v>
      </c>
      <c r="BW163" s="387">
        <f t="shared" si="107"/>
        <v>0</v>
      </c>
      <c r="BX163" s="387">
        <f t="shared" si="122"/>
        <v>0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0</v>
      </c>
      <c r="CG163" s="387">
        <f t="shared" si="112"/>
        <v>0</v>
      </c>
      <c r="CH163" s="387">
        <f t="shared" si="113"/>
        <v>0</v>
      </c>
      <c r="CI163" s="387">
        <f t="shared" si="114"/>
        <v>0</v>
      </c>
      <c r="CJ163" s="387">
        <f t="shared" si="127"/>
        <v>0</v>
      </c>
      <c r="CK163" s="387" t="str">
        <f t="shared" si="128"/>
        <v/>
      </c>
      <c r="CL163" s="387">
        <f t="shared" si="129"/>
        <v>0</v>
      </c>
      <c r="CM163" s="387">
        <f t="shared" si="130"/>
        <v>0</v>
      </c>
      <c r="CN163" s="387" t="str">
        <f t="shared" si="131"/>
        <v>0450-51</v>
      </c>
    </row>
    <row r="164" spans="1:92" ht="15.75" thickBot="1" x14ac:dyDescent="0.3">
      <c r="A164" s="376" t="s">
        <v>161</v>
      </c>
      <c r="B164" s="376" t="s">
        <v>162</v>
      </c>
      <c r="C164" s="376" t="s">
        <v>740</v>
      </c>
      <c r="D164" s="376" t="s">
        <v>254</v>
      </c>
      <c r="E164" s="376" t="s">
        <v>741</v>
      </c>
      <c r="F164" s="377" t="s">
        <v>166</v>
      </c>
      <c r="G164" s="376" t="s">
        <v>583</v>
      </c>
      <c r="H164" s="378"/>
      <c r="I164" s="378"/>
      <c r="J164" s="376" t="s">
        <v>186</v>
      </c>
      <c r="K164" s="376" t="s">
        <v>255</v>
      </c>
      <c r="L164" s="376" t="s">
        <v>178</v>
      </c>
      <c r="M164" s="376" t="s">
        <v>171</v>
      </c>
      <c r="N164" s="376" t="s">
        <v>172</v>
      </c>
      <c r="O164" s="379">
        <v>1</v>
      </c>
      <c r="P164" s="385">
        <v>1</v>
      </c>
      <c r="Q164" s="385">
        <v>1</v>
      </c>
      <c r="R164" s="380">
        <v>80</v>
      </c>
      <c r="S164" s="385">
        <v>1</v>
      </c>
      <c r="T164" s="380">
        <v>33363.199999999997</v>
      </c>
      <c r="U164" s="380">
        <v>7.5</v>
      </c>
      <c r="V164" s="380">
        <v>18357.32</v>
      </c>
      <c r="W164" s="380">
        <v>32614.400000000001</v>
      </c>
      <c r="X164" s="380">
        <v>18987.23</v>
      </c>
      <c r="Y164" s="380">
        <v>32614.400000000001</v>
      </c>
      <c r="Z164" s="380">
        <v>18827.419999999998</v>
      </c>
      <c r="AA164" s="376" t="s">
        <v>742</v>
      </c>
      <c r="AB164" s="376" t="s">
        <v>743</v>
      </c>
      <c r="AC164" s="376" t="s">
        <v>744</v>
      </c>
      <c r="AD164" s="376" t="s">
        <v>745</v>
      </c>
      <c r="AE164" s="376" t="s">
        <v>255</v>
      </c>
      <c r="AF164" s="376" t="s">
        <v>250</v>
      </c>
      <c r="AG164" s="376" t="s">
        <v>178</v>
      </c>
      <c r="AH164" s="381">
        <v>15.68</v>
      </c>
      <c r="AI164" s="379">
        <v>11569</v>
      </c>
      <c r="AJ164" s="376" t="s">
        <v>179</v>
      </c>
      <c r="AK164" s="376" t="s">
        <v>180</v>
      </c>
      <c r="AL164" s="376" t="s">
        <v>181</v>
      </c>
      <c r="AM164" s="376" t="s">
        <v>182</v>
      </c>
      <c r="AN164" s="376" t="s">
        <v>68</v>
      </c>
      <c r="AO164" s="379">
        <v>80</v>
      </c>
      <c r="AP164" s="385">
        <v>1</v>
      </c>
      <c r="AQ164" s="385">
        <v>1</v>
      </c>
      <c r="AR164" s="383" t="s">
        <v>183</v>
      </c>
      <c r="AS164" s="387">
        <f t="shared" si="115"/>
        <v>1</v>
      </c>
      <c r="AT164">
        <f t="shared" si="116"/>
        <v>1</v>
      </c>
      <c r="AU164" s="387">
        <f>IF(AT164=0,"",IF(AND(AT164=1,M164="F",SUMIF(C2:C206,C164,AS2:AS206)&lt;=1),SUMIF(C2:C206,C164,AS2:AS206),IF(AND(AT164=1,M164="F",SUMIF(C2:C206,C164,AS2:AS206)&gt;1),1,"")))</f>
        <v>1</v>
      </c>
      <c r="AV164" s="387" t="str">
        <f>IF(AT164=0,"",IF(AND(AT164=3,M164="F",SUMIF(C2:C206,C164,AS2:AS206)&lt;=1),SUMIF(C2:C206,C164,AS2:AS206),IF(AND(AT164=3,M164="F",SUMIF(C2:C206,C164,AS2:AS206)&gt;1),1,"")))</f>
        <v/>
      </c>
      <c r="AW164" s="387">
        <f>SUMIF(C2:C206,C164,O2:O206)</f>
        <v>1</v>
      </c>
      <c r="AX164" s="387">
        <f>IF(AND(M164="F",AS164&lt;&gt;0),SUMIF(C2:C206,C164,W2:W206),0)</f>
        <v>32614.400000000001</v>
      </c>
      <c r="AY164" s="387">
        <f t="shared" si="117"/>
        <v>32614.400000000001</v>
      </c>
      <c r="AZ164" s="387" t="str">
        <f t="shared" si="118"/>
        <v/>
      </c>
      <c r="BA164" s="387">
        <f t="shared" si="119"/>
        <v>0</v>
      </c>
      <c r="BB164" s="387">
        <f t="shared" si="88"/>
        <v>11650</v>
      </c>
      <c r="BC164" s="387">
        <f t="shared" si="89"/>
        <v>0</v>
      </c>
      <c r="BD164" s="387">
        <f t="shared" si="90"/>
        <v>2022.0928000000001</v>
      </c>
      <c r="BE164" s="387">
        <f t="shared" si="91"/>
        <v>472.90880000000004</v>
      </c>
      <c r="BF164" s="387">
        <f t="shared" si="92"/>
        <v>3894.1593600000006</v>
      </c>
      <c r="BG164" s="387">
        <f t="shared" si="93"/>
        <v>235.14982400000002</v>
      </c>
      <c r="BH164" s="387">
        <f t="shared" si="94"/>
        <v>159.81056000000001</v>
      </c>
      <c r="BI164" s="387">
        <f t="shared" si="95"/>
        <v>99.800063999999992</v>
      </c>
      <c r="BJ164" s="387">
        <f t="shared" si="96"/>
        <v>453.34015999999997</v>
      </c>
      <c r="BK164" s="387">
        <f t="shared" si="97"/>
        <v>0</v>
      </c>
      <c r="BL164" s="387">
        <f t="shared" si="120"/>
        <v>7337.2615680000008</v>
      </c>
      <c r="BM164" s="387">
        <f t="shared" si="121"/>
        <v>0</v>
      </c>
      <c r="BN164" s="387">
        <f t="shared" si="98"/>
        <v>11650</v>
      </c>
      <c r="BO164" s="387">
        <f t="shared" si="99"/>
        <v>0</v>
      </c>
      <c r="BP164" s="387">
        <f t="shared" si="100"/>
        <v>2022.0928000000001</v>
      </c>
      <c r="BQ164" s="387">
        <f t="shared" si="101"/>
        <v>472.90880000000004</v>
      </c>
      <c r="BR164" s="387">
        <f t="shared" si="102"/>
        <v>3894.1593600000006</v>
      </c>
      <c r="BS164" s="387">
        <f t="shared" si="103"/>
        <v>235.14982400000002</v>
      </c>
      <c r="BT164" s="387">
        <f t="shared" si="104"/>
        <v>0</v>
      </c>
      <c r="BU164" s="387">
        <f t="shared" si="105"/>
        <v>99.800063999999992</v>
      </c>
      <c r="BV164" s="387">
        <f t="shared" si="106"/>
        <v>453.34015999999997</v>
      </c>
      <c r="BW164" s="387">
        <f t="shared" si="107"/>
        <v>0</v>
      </c>
      <c r="BX164" s="387">
        <f t="shared" si="122"/>
        <v>7177.4510080000009</v>
      </c>
      <c r="BY164" s="387">
        <f t="shared" si="123"/>
        <v>0</v>
      </c>
      <c r="BZ164" s="387">
        <f t="shared" si="124"/>
        <v>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0</v>
      </c>
      <c r="CE164" s="387">
        <f t="shared" si="110"/>
        <v>0</v>
      </c>
      <c r="CF164" s="387">
        <f t="shared" si="111"/>
        <v>-159.81056000000001</v>
      </c>
      <c r="CG164" s="387">
        <f t="shared" si="112"/>
        <v>0</v>
      </c>
      <c r="CH164" s="387">
        <f t="shared" si="113"/>
        <v>0</v>
      </c>
      <c r="CI164" s="387">
        <f t="shared" si="114"/>
        <v>0</v>
      </c>
      <c r="CJ164" s="387">
        <f t="shared" si="127"/>
        <v>-159.81056000000001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0456-00</v>
      </c>
    </row>
    <row r="165" spans="1:92" ht="15.75" thickBot="1" x14ac:dyDescent="0.3">
      <c r="A165" s="376" t="s">
        <v>161</v>
      </c>
      <c r="B165" s="376" t="s">
        <v>162</v>
      </c>
      <c r="C165" s="376" t="s">
        <v>746</v>
      </c>
      <c r="D165" s="376" t="s">
        <v>730</v>
      </c>
      <c r="E165" s="376" t="s">
        <v>741</v>
      </c>
      <c r="F165" s="377" t="s">
        <v>166</v>
      </c>
      <c r="G165" s="376" t="s">
        <v>583</v>
      </c>
      <c r="H165" s="378"/>
      <c r="I165" s="378"/>
      <c r="J165" s="376" t="s">
        <v>186</v>
      </c>
      <c r="K165" s="376" t="s">
        <v>731</v>
      </c>
      <c r="L165" s="376" t="s">
        <v>178</v>
      </c>
      <c r="M165" s="376" t="s">
        <v>207</v>
      </c>
      <c r="N165" s="376" t="s">
        <v>172</v>
      </c>
      <c r="O165" s="379">
        <v>0</v>
      </c>
      <c r="P165" s="385">
        <v>1</v>
      </c>
      <c r="Q165" s="385">
        <v>1</v>
      </c>
      <c r="R165" s="380">
        <v>80</v>
      </c>
      <c r="S165" s="385">
        <v>1</v>
      </c>
      <c r="T165" s="380">
        <v>26764.51</v>
      </c>
      <c r="U165" s="380">
        <v>70.47</v>
      </c>
      <c r="V165" s="380">
        <v>15808.38</v>
      </c>
      <c r="W165" s="380">
        <v>32094.400000000001</v>
      </c>
      <c r="X165" s="380">
        <v>14057.34</v>
      </c>
      <c r="Y165" s="380">
        <v>32094.400000000001</v>
      </c>
      <c r="Z165" s="380">
        <v>13896.87</v>
      </c>
      <c r="AA165" s="378"/>
      <c r="AB165" s="376" t="s">
        <v>45</v>
      </c>
      <c r="AC165" s="376" t="s">
        <v>45</v>
      </c>
      <c r="AD165" s="378"/>
      <c r="AE165" s="378"/>
      <c r="AF165" s="378"/>
      <c r="AG165" s="378"/>
      <c r="AH165" s="379">
        <v>0</v>
      </c>
      <c r="AI165" s="379">
        <v>0</v>
      </c>
      <c r="AJ165" s="378"/>
      <c r="AK165" s="378"/>
      <c r="AL165" s="376" t="s">
        <v>181</v>
      </c>
      <c r="AM165" s="378"/>
      <c r="AN165" s="378"/>
      <c r="AO165" s="379">
        <v>0</v>
      </c>
      <c r="AP165" s="385">
        <v>0</v>
      </c>
      <c r="AQ165" s="385">
        <v>0</v>
      </c>
      <c r="AR165" s="384"/>
      <c r="AS165" s="387">
        <f t="shared" si="115"/>
        <v>0</v>
      </c>
      <c r="AT165">
        <f t="shared" si="116"/>
        <v>0</v>
      </c>
      <c r="AU165" s="387" t="str">
        <f>IF(AT165=0,"",IF(AND(AT165=1,M165="F",SUMIF(C2:C206,C165,AS2:AS206)&lt;=1),SUMIF(C2:C206,C165,AS2:AS206),IF(AND(AT165=1,M165="F",SUMIF(C2:C206,C165,AS2:AS206)&gt;1),1,"")))</f>
        <v/>
      </c>
      <c r="AV165" s="387" t="str">
        <f>IF(AT165=0,"",IF(AND(AT165=3,M165="F",SUMIF(C2:C206,C165,AS2:AS206)&lt;=1),SUMIF(C2:C206,C165,AS2:AS206),IF(AND(AT165=3,M165="F",SUMIF(C2:C206,C165,AS2:AS206)&gt;1),1,"")))</f>
        <v/>
      </c>
      <c r="AW165" s="387">
        <f>SUMIF(C2:C206,C165,O2:O206)</f>
        <v>0</v>
      </c>
      <c r="AX165" s="387">
        <f>IF(AND(M165="F",AS165&lt;&gt;0),SUMIF(C2:C206,C165,W2:W206),0)</f>
        <v>0</v>
      </c>
      <c r="AY165" s="387" t="str">
        <f t="shared" si="117"/>
        <v/>
      </c>
      <c r="AZ165" s="387" t="str">
        <f t="shared" si="118"/>
        <v/>
      </c>
      <c r="BA165" s="387">
        <f t="shared" si="119"/>
        <v>0</v>
      </c>
      <c r="BB165" s="387">
        <f t="shared" si="88"/>
        <v>0</v>
      </c>
      <c r="BC165" s="387">
        <f t="shared" si="89"/>
        <v>0</v>
      </c>
      <c r="BD165" s="387">
        <f t="shared" si="90"/>
        <v>0</v>
      </c>
      <c r="BE165" s="387">
        <f t="shared" si="91"/>
        <v>0</v>
      </c>
      <c r="BF165" s="387">
        <f t="shared" si="92"/>
        <v>0</v>
      </c>
      <c r="BG165" s="387">
        <f t="shared" si="93"/>
        <v>0</v>
      </c>
      <c r="BH165" s="387">
        <f t="shared" si="94"/>
        <v>0</v>
      </c>
      <c r="BI165" s="387">
        <f t="shared" si="95"/>
        <v>0</v>
      </c>
      <c r="BJ165" s="387">
        <f t="shared" si="96"/>
        <v>0</v>
      </c>
      <c r="BK165" s="387">
        <f t="shared" si="97"/>
        <v>0</v>
      </c>
      <c r="BL165" s="387">
        <f t="shared" si="120"/>
        <v>0</v>
      </c>
      <c r="BM165" s="387">
        <f t="shared" si="121"/>
        <v>0</v>
      </c>
      <c r="BN165" s="387">
        <f t="shared" si="98"/>
        <v>0</v>
      </c>
      <c r="BO165" s="387">
        <f t="shared" si="99"/>
        <v>0</v>
      </c>
      <c r="BP165" s="387">
        <f t="shared" si="100"/>
        <v>0</v>
      </c>
      <c r="BQ165" s="387">
        <f t="shared" si="101"/>
        <v>0</v>
      </c>
      <c r="BR165" s="387">
        <f t="shared" si="102"/>
        <v>0</v>
      </c>
      <c r="BS165" s="387">
        <f t="shared" si="103"/>
        <v>0</v>
      </c>
      <c r="BT165" s="387">
        <f t="shared" si="104"/>
        <v>0</v>
      </c>
      <c r="BU165" s="387">
        <f t="shared" si="105"/>
        <v>0</v>
      </c>
      <c r="BV165" s="387">
        <f t="shared" si="106"/>
        <v>0</v>
      </c>
      <c r="BW165" s="387">
        <f t="shared" si="107"/>
        <v>0</v>
      </c>
      <c r="BX165" s="387">
        <f t="shared" si="122"/>
        <v>0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0</v>
      </c>
      <c r="CG165" s="387">
        <f t="shared" si="112"/>
        <v>0</v>
      </c>
      <c r="CH165" s="387">
        <f t="shared" si="113"/>
        <v>0</v>
      </c>
      <c r="CI165" s="387">
        <f t="shared" si="114"/>
        <v>0</v>
      </c>
      <c r="CJ165" s="387">
        <f t="shared" si="127"/>
        <v>0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0456-00</v>
      </c>
    </row>
    <row r="166" spans="1:92" ht="15.75" thickBot="1" x14ac:dyDescent="0.3">
      <c r="A166" s="376" t="s">
        <v>161</v>
      </c>
      <c r="B166" s="376" t="s">
        <v>162</v>
      </c>
      <c r="C166" s="376" t="s">
        <v>747</v>
      </c>
      <c r="D166" s="376" t="s">
        <v>205</v>
      </c>
      <c r="E166" s="376" t="s">
        <v>741</v>
      </c>
      <c r="F166" s="377" t="s">
        <v>166</v>
      </c>
      <c r="G166" s="376" t="s">
        <v>583</v>
      </c>
      <c r="H166" s="378"/>
      <c r="I166" s="378"/>
      <c r="J166" s="376" t="s">
        <v>186</v>
      </c>
      <c r="K166" s="376" t="s">
        <v>206</v>
      </c>
      <c r="L166" s="376" t="s">
        <v>166</v>
      </c>
      <c r="M166" s="376" t="s">
        <v>171</v>
      </c>
      <c r="N166" s="376" t="s">
        <v>208</v>
      </c>
      <c r="O166" s="379">
        <v>0</v>
      </c>
      <c r="P166" s="385">
        <v>1</v>
      </c>
      <c r="Q166" s="385">
        <v>0</v>
      </c>
      <c r="R166" s="380">
        <v>0</v>
      </c>
      <c r="S166" s="385">
        <v>0</v>
      </c>
      <c r="T166" s="380">
        <v>6480</v>
      </c>
      <c r="U166" s="380">
        <v>0</v>
      </c>
      <c r="V166" s="380">
        <v>920.75</v>
      </c>
      <c r="W166" s="380">
        <v>6480</v>
      </c>
      <c r="X166" s="380">
        <v>920.75</v>
      </c>
      <c r="Y166" s="380">
        <v>6480</v>
      </c>
      <c r="Z166" s="380">
        <v>920.75</v>
      </c>
      <c r="AA166" s="378"/>
      <c r="AB166" s="376" t="s">
        <v>45</v>
      </c>
      <c r="AC166" s="376" t="s">
        <v>45</v>
      </c>
      <c r="AD166" s="378"/>
      <c r="AE166" s="378"/>
      <c r="AF166" s="378"/>
      <c r="AG166" s="378"/>
      <c r="AH166" s="379">
        <v>0</v>
      </c>
      <c r="AI166" s="379">
        <v>0</v>
      </c>
      <c r="AJ166" s="378"/>
      <c r="AK166" s="378"/>
      <c r="AL166" s="376" t="s">
        <v>181</v>
      </c>
      <c r="AM166" s="378"/>
      <c r="AN166" s="378"/>
      <c r="AO166" s="379">
        <v>0</v>
      </c>
      <c r="AP166" s="385">
        <v>0</v>
      </c>
      <c r="AQ166" s="385">
        <v>0</v>
      </c>
      <c r="AR166" s="384"/>
      <c r="AS166" s="387">
        <f t="shared" si="115"/>
        <v>0</v>
      </c>
      <c r="AT166">
        <f t="shared" si="116"/>
        <v>0</v>
      </c>
      <c r="AU166" s="387" t="str">
        <f>IF(AT166=0,"",IF(AND(AT166=1,M166="F",SUMIF(C2:C206,C166,AS2:AS206)&lt;=1),SUMIF(C2:C206,C166,AS2:AS206),IF(AND(AT166=1,M166="F",SUMIF(C2:C206,C166,AS2:AS206)&gt;1),1,"")))</f>
        <v/>
      </c>
      <c r="AV166" s="387" t="str">
        <f>IF(AT166=0,"",IF(AND(AT166=3,M166="F",SUMIF(C2:C206,C166,AS2:AS206)&lt;=1),SUMIF(C2:C206,C166,AS2:AS206),IF(AND(AT166=3,M166="F",SUMIF(C2:C206,C166,AS2:AS206)&gt;1),1,"")))</f>
        <v/>
      </c>
      <c r="AW166" s="387">
        <f>SUMIF(C2:C206,C166,O2:O206)</f>
        <v>0</v>
      </c>
      <c r="AX166" s="387">
        <f>IF(AND(M166="F",AS166&lt;&gt;0),SUMIF(C2:C206,C166,W2:W206),0)</f>
        <v>0</v>
      </c>
      <c r="AY166" s="387" t="str">
        <f t="shared" si="117"/>
        <v/>
      </c>
      <c r="AZ166" s="387" t="str">
        <f t="shared" si="118"/>
        <v/>
      </c>
      <c r="BA166" s="387">
        <f t="shared" si="119"/>
        <v>0</v>
      </c>
      <c r="BB166" s="387">
        <f t="shared" si="88"/>
        <v>0</v>
      </c>
      <c r="BC166" s="387">
        <f t="shared" si="89"/>
        <v>0</v>
      </c>
      <c r="BD166" s="387">
        <f t="shared" si="90"/>
        <v>0</v>
      </c>
      <c r="BE166" s="387">
        <f t="shared" si="91"/>
        <v>0</v>
      </c>
      <c r="BF166" s="387">
        <f t="shared" si="92"/>
        <v>0</v>
      </c>
      <c r="BG166" s="387">
        <f t="shared" si="93"/>
        <v>0</v>
      </c>
      <c r="BH166" s="387">
        <f t="shared" si="94"/>
        <v>0</v>
      </c>
      <c r="BI166" s="387">
        <f t="shared" si="95"/>
        <v>0</v>
      </c>
      <c r="BJ166" s="387">
        <f t="shared" si="96"/>
        <v>0</v>
      </c>
      <c r="BK166" s="387">
        <f t="shared" si="97"/>
        <v>0</v>
      </c>
      <c r="BL166" s="387">
        <f t="shared" si="120"/>
        <v>0</v>
      </c>
      <c r="BM166" s="387">
        <f t="shared" si="121"/>
        <v>0</v>
      </c>
      <c r="BN166" s="387">
        <f t="shared" si="98"/>
        <v>0</v>
      </c>
      <c r="BO166" s="387">
        <f t="shared" si="99"/>
        <v>0</v>
      </c>
      <c r="BP166" s="387">
        <f t="shared" si="100"/>
        <v>0</v>
      </c>
      <c r="BQ166" s="387">
        <f t="shared" si="101"/>
        <v>0</v>
      </c>
      <c r="BR166" s="387">
        <f t="shared" si="102"/>
        <v>0</v>
      </c>
      <c r="BS166" s="387">
        <f t="shared" si="103"/>
        <v>0</v>
      </c>
      <c r="BT166" s="387">
        <f t="shared" si="104"/>
        <v>0</v>
      </c>
      <c r="BU166" s="387">
        <f t="shared" si="105"/>
        <v>0</v>
      </c>
      <c r="BV166" s="387">
        <f t="shared" si="106"/>
        <v>0</v>
      </c>
      <c r="BW166" s="387">
        <f t="shared" si="107"/>
        <v>0</v>
      </c>
      <c r="BX166" s="387">
        <f t="shared" si="122"/>
        <v>0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0</v>
      </c>
      <c r="CG166" s="387">
        <f t="shared" si="112"/>
        <v>0</v>
      </c>
      <c r="CH166" s="387">
        <f t="shared" si="113"/>
        <v>0</v>
      </c>
      <c r="CI166" s="387">
        <f t="shared" si="114"/>
        <v>0</v>
      </c>
      <c r="CJ166" s="387">
        <f t="shared" si="127"/>
        <v>0</v>
      </c>
      <c r="CK166" s="387" t="str">
        <f t="shared" si="128"/>
        <v/>
      </c>
      <c r="CL166" s="387">
        <f t="shared" si="129"/>
        <v>6480</v>
      </c>
      <c r="CM166" s="387">
        <f t="shared" si="130"/>
        <v>920.75</v>
      </c>
      <c r="CN166" s="387" t="str">
        <f t="shared" si="131"/>
        <v>0456-00</v>
      </c>
    </row>
    <row r="167" spans="1:92" ht="15.75" thickBot="1" x14ac:dyDescent="0.3">
      <c r="A167" s="376" t="s">
        <v>161</v>
      </c>
      <c r="B167" s="376" t="s">
        <v>162</v>
      </c>
      <c r="C167" s="376" t="s">
        <v>748</v>
      </c>
      <c r="D167" s="376" t="s">
        <v>749</v>
      </c>
      <c r="E167" s="376" t="s">
        <v>741</v>
      </c>
      <c r="F167" s="377" t="s">
        <v>166</v>
      </c>
      <c r="G167" s="376" t="s">
        <v>583</v>
      </c>
      <c r="H167" s="378"/>
      <c r="I167" s="378"/>
      <c r="J167" s="376" t="s">
        <v>186</v>
      </c>
      <c r="K167" s="376" t="s">
        <v>750</v>
      </c>
      <c r="L167" s="376" t="s">
        <v>269</v>
      </c>
      <c r="M167" s="376" t="s">
        <v>171</v>
      </c>
      <c r="N167" s="376" t="s">
        <v>172</v>
      </c>
      <c r="O167" s="379">
        <v>1</v>
      </c>
      <c r="P167" s="385">
        <v>1</v>
      </c>
      <c r="Q167" s="385">
        <v>1</v>
      </c>
      <c r="R167" s="380">
        <v>80</v>
      </c>
      <c r="S167" s="385">
        <v>1</v>
      </c>
      <c r="T167" s="380">
        <v>43352.38</v>
      </c>
      <c r="U167" s="380">
        <v>0</v>
      </c>
      <c r="V167" s="380">
        <v>21994.1</v>
      </c>
      <c r="W167" s="380">
        <v>51937.599999999999</v>
      </c>
      <c r="X167" s="380">
        <v>23334.37</v>
      </c>
      <c r="Y167" s="380">
        <v>51937.599999999999</v>
      </c>
      <c r="Z167" s="380">
        <v>23079.88</v>
      </c>
      <c r="AA167" s="376" t="s">
        <v>751</v>
      </c>
      <c r="AB167" s="376" t="s">
        <v>752</v>
      </c>
      <c r="AC167" s="376" t="s">
        <v>753</v>
      </c>
      <c r="AD167" s="376" t="s">
        <v>754</v>
      </c>
      <c r="AE167" s="376" t="s">
        <v>750</v>
      </c>
      <c r="AF167" s="376" t="s">
        <v>274</v>
      </c>
      <c r="AG167" s="376" t="s">
        <v>178</v>
      </c>
      <c r="AH167" s="381">
        <v>24.97</v>
      </c>
      <c r="AI167" s="379">
        <v>20785</v>
      </c>
      <c r="AJ167" s="376" t="s">
        <v>179</v>
      </c>
      <c r="AK167" s="376" t="s">
        <v>180</v>
      </c>
      <c r="AL167" s="376" t="s">
        <v>181</v>
      </c>
      <c r="AM167" s="376" t="s">
        <v>182</v>
      </c>
      <c r="AN167" s="376" t="s">
        <v>68</v>
      </c>
      <c r="AO167" s="379">
        <v>80</v>
      </c>
      <c r="AP167" s="385">
        <v>1</v>
      </c>
      <c r="AQ167" s="385">
        <v>1</v>
      </c>
      <c r="AR167" s="383" t="s">
        <v>183</v>
      </c>
      <c r="AS167" s="387">
        <f t="shared" si="115"/>
        <v>1</v>
      </c>
      <c r="AT167">
        <f t="shared" si="116"/>
        <v>1</v>
      </c>
      <c r="AU167" s="387">
        <f>IF(AT167=0,"",IF(AND(AT167=1,M167="F",SUMIF(C2:C206,C167,AS2:AS206)&lt;=1),SUMIF(C2:C206,C167,AS2:AS206),IF(AND(AT167=1,M167="F",SUMIF(C2:C206,C167,AS2:AS206)&gt;1),1,"")))</f>
        <v>1</v>
      </c>
      <c r="AV167" s="387" t="str">
        <f>IF(AT167=0,"",IF(AND(AT167=3,M167="F",SUMIF(C2:C206,C167,AS2:AS206)&lt;=1),SUMIF(C2:C206,C167,AS2:AS206),IF(AND(AT167=3,M167="F",SUMIF(C2:C206,C167,AS2:AS206)&gt;1),1,"")))</f>
        <v/>
      </c>
      <c r="AW167" s="387">
        <f>SUMIF(C2:C206,C167,O2:O206)</f>
        <v>1</v>
      </c>
      <c r="AX167" s="387">
        <f>IF(AND(M167="F",AS167&lt;&gt;0),SUMIF(C2:C206,C167,W2:W206),0)</f>
        <v>51937.599999999999</v>
      </c>
      <c r="AY167" s="387">
        <f t="shared" si="117"/>
        <v>51937.599999999999</v>
      </c>
      <c r="AZ167" s="387" t="str">
        <f t="shared" si="118"/>
        <v/>
      </c>
      <c r="BA167" s="387">
        <f t="shared" si="119"/>
        <v>0</v>
      </c>
      <c r="BB167" s="387">
        <f t="shared" si="88"/>
        <v>11650</v>
      </c>
      <c r="BC167" s="387">
        <f t="shared" si="89"/>
        <v>0</v>
      </c>
      <c r="BD167" s="387">
        <f t="shared" si="90"/>
        <v>3220.1311999999998</v>
      </c>
      <c r="BE167" s="387">
        <f t="shared" si="91"/>
        <v>753.09519999999998</v>
      </c>
      <c r="BF167" s="387">
        <f t="shared" si="92"/>
        <v>6201.34944</v>
      </c>
      <c r="BG167" s="387">
        <f t="shared" si="93"/>
        <v>374.47009600000001</v>
      </c>
      <c r="BH167" s="387">
        <f t="shared" si="94"/>
        <v>254.49423999999999</v>
      </c>
      <c r="BI167" s="387">
        <f t="shared" si="95"/>
        <v>158.92905599999997</v>
      </c>
      <c r="BJ167" s="387">
        <f t="shared" si="96"/>
        <v>721.93263999999999</v>
      </c>
      <c r="BK167" s="387">
        <f t="shared" si="97"/>
        <v>0</v>
      </c>
      <c r="BL167" s="387">
        <f t="shared" si="120"/>
        <v>11684.401871999999</v>
      </c>
      <c r="BM167" s="387">
        <f t="shared" si="121"/>
        <v>0</v>
      </c>
      <c r="BN167" s="387">
        <f t="shared" si="98"/>
        <v>11650</v>
      </c>
      <c r="BO167" s="387">
        <f t="shared" si="99"/>
        <v>0</v>
      </c>
      <c r="BP167" s="387">
        <f t="shared" si="100"/>
        <v>3220.1311999999998</v>
      </c>
      <c r="BQ167" s="387">
        <f t="shared" si="101"/>
        <v>753.09519999999998</v>
      </c>
      <c r="BR167" s="387">
        <f t="shared" si="102"/>
        <v>6201.34944</v>
      </c>
      <c r="BS167" s="387">
        <f t="shared" si="103"/>
        <v>374.47009600000001</v>
      </c>
      <c r="BT167" s="387">
        <f t="shared" si="104"/>
        <v>0</v>
      </c>
      <c r="BU167" s="387">
        <f t="shared" si="105"/>
        <v>158.92905599999997</v>
      </c>
      <c r="BV167" s="387">
        <f t="shared" si="106"/>
        <v>721.93263999999999</v>
      </c>
      <c r="BW167" s="387">
        <f t="shared" si="107"/>
        <v>0</v>
      </c>
      <c r="BX167" s="387">
        <f t="shared" si="122"/>
        <v>11429.907631999999</v>
      </c>
      <c r="BY167" s="387">
        <f t="shared" si="123"/>
        <v>0</v>
      </c>
      <c r="BZ167" s="387">
        <f t="shared" si="124"/>
        <v>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0</v>
      </c>
      <c r="CE167" s="387">
        <f t="shared" si="110"/>
        <v>0</v>
      </c>
      <c r="CF167" s="387">
        <f t="shared" si="111"/>
        <v>-254.49423999999999</v>
      </c>
      <c r="CG167" s="387">
        <f t="shared" si="112"/>
        <v>0</v>
      </c>
      <c r="CH167" s="387">
        <f t="shared" si="113"/>
        <v>0</v>
      </c>
      <c r="CI167" s="387">
        <f t="shared" si="114"/>
        <v>0</v>
      </c>
      <c r="CJ167" s="387">
        <f t="shared" si="127"/>
        <v>-254.49423999999999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0456-00</v>
      </c>
    </row>
    <row r="168" spans="1:92" ht="15.75" thickBot="1" x14ac:dyDescent="0.3">
      <c r="A168" s="376" t="s">
        <v>161</v>
      </c>
      <c r="B168" s="376" t="s">
        <v>162</v>
      </c>
      <c r="C168" s="376" t="s">
        <v>687</v>
      </c>
      <c r="D168" s="376" t="s">
        <v>688</v>
      </c>
      <c r="E168" s="376" t="s">
        <v>741</v>
      </c>
      <c r="F168" s="377" t="s">
        <v>166</v>
      </c>
      <c r="G168" s="376" t="s">
        <v>583</v>
      </c>
      <c r="H168" s="378"/>
      <c r="I168" s="378"/>
      <c r="J168" s="376" t="s">
        <v>186</v>
      </c>
      <c r="K168" s="376" t="s">
        <v>689</v>
      </c>
      <c r="L168" s="376" t="s">
        <v>526</v>
      </c>
      <c r="M168" s="376" t="s">
        <v>171</v>
      </c>
      <c r="N168" s="376" t="s">
        <v>172</v>
      </c>
      <c r="O168" s="379">
        <v>1</v>
      </c>
      <c r="P168" s="385">
        <v>0</v>
      </c>
      <c r="Q168" s="385">
        <v>0</v>
      </c>
      <c r="R168" s="380">
        <v>80</v>
      </c>
      <c r="S168" s="385">
        <v>0</v>
      </c>
      <c r="T168" s="380">
        <v>77.989999999999995</v>
      </c>
      <c r="U168" s="380">
        <v>0</v>
      </c>
      <c r="V168" s="380">
        <v>41.79</v>
      </c>
      <c r="W168" s="380">
        <v>0</v>
      </c>
      <c r="X168" s="380">
        <v>0</v>
      </c>
      <c r="Y168" s="380">
        <v>0</v>
      </c>
      <c r="Z168" s="380">
        <v>0</v>
      </c>
      <c r="AA168" s="376" t="s">
        <v>690</v>
      </c>
      <c r="AB168" s="376" t="s">
        <v>691</v>
      </c>
      <c r="AC168" s="376" t="s">
        <v>692</v>
      </c>
      <c r="AD168" s="376" t="s">
        <v>693</v>
      </c>
      <c r="AE168" s="376" t="s">
        <v>689</v>
      </c>
      <c r="AF168" s="376" t="s">
        <v>529</v>
      </c>
      <c r="AG168" s="376" t="s">
        <v>178</v>
      </c>
      <c r="AH168" s="381">
        <v>17.05</v>
      </c>
      <c r="AI168" s="381">
        <v>29204.9</v>
      </c>
      <c r="AJ168" s="376" t="s">
        <v>179</v>
      </c>
      <c r="AK168" s="376" t="s">
        <v>180</v>
      </c>
      <c r="AL168" s="376" t="s">
        <v>181</v>
      </c>
      <c r="AM168" s="376" t="s">
        <v>182</v>
      </c>
      <c r="AN168" s="376" t="s">
        <v>68</v>
      </c>
      <c r="AO168" s="379">
        <v>80</v>
      </c>
      <c r="AP168" s="385">
        <v>1</v>
      </c>
      <c r="AQ168" s="385">
        <v>0</v>
      </c>
      <c r="AR168" s="383" t="s">
        <v>183</v>
      </c>
      <c r="AS168" s="387">
        <f t="shared" si="115"/>
        <v>0</v>
      </c>
      <c r="AT168">
        <f t="shared" si="116"/>
        <v>0</v>
      </c>
      <c r="AU168" s="387" t="str">
        <f>IF(AT168=0,"",IF(AND(AT168=1,M168="F",SUMIF(C2:C206,C168,AS2:AS206)&lt;=1),SUMIF(C2:C206,C168,AS2:AS206),IF(AND(AT168=1,M168="F",SUMIF(C2:C206,C168,AS2:AS206)&gt;1),1,"")))</f>
        <v/>
      </c>
      <c r="AV168" s="387" t="str">
        <f>IF(AT168=0,"",IF(AND(AT168=3,M168="F",SUMIF(C2:C206,C168,AS2:AS206)&lt;=1),SUMIF(C2:C206,C168,AS2:AS206),IF(AND(AT168=3,M168="F",SUMIF(C2:C206,C168,AS2:AS206)&gt;1),1,"")))</f>
        <v/>
      </c>
      <c r="AW168" s="387">
        <f>SUMIF(C2:C206,C168,O2:O206)</f>
        <v>2</v>
      </c>
      <c r="AX168" s="387">
        <f>IF(AND(M168="F",AS168&lt;&gt;0),SUMIF(C2:C206,C168,W2:W206),0)</f>
        <v>0</v>
      </c>
      <c r="AY168" s="387" t="str">
        <f t="shared" si="117"/>
        <v/>
      </c>
      <c r="AZ168" s="387" t="str">
        <f t="shared" si="118"/>
        <v/>
      </c>
      <c r="BA168" s="387">
        <f t="shared" si="119"/>
        <v>0</v>
      </c>
      <c r="BB168" s="387">
        <f t="shared" si="88"/>
        <v>0</v>
      </c>
      <c r="BC168" s="387">
        <f t="shared" si="89"/>
        <v>0</v>
      </c>
      <c r="BD168" s="387">
        <f t="shared" si="90"/>
        <v>0</v>
      </c>
      <c r="BE168" s="387">
        <f t="shared" si="91"/>
        <v>0</v>
      </c>
      <c r="BF168" s="387">
        <f t="shared" si="92"/>
        <v>0</v>
      </c>
      <c r="BG168" s="387">
        <f t="shared" si="93"/>
        <v>0</v>
      </c>
      <c r="BH168" s="387">
        <f t="shared" si="94"/>
        <v>0</v>
      </c>
      <c r="BI168" s="387">
        <f t="shared" si="95"/>
        <v>0</v>
      </c>
      <c r="BJ168" s="387">
        <f t="shared" si="96"/>
        <v>0</v>
      </c>
      <c r="BK168" s="387">
        <f t="shared" si="97"/>
        <v>0</v>
      </c>
      <c r="BL168" s="387">
        <f t="shared" si="120"/>
        <v>0</v>
      </c>
      <c r="BM168" s="387">
        <f t="shared" si="121"/>
        <v>0</v>
      </c>
      <c r="BN168" s="387">
        <f t="shared" si="98"/>
        <v>0</v>
      </c>
      <c r="BO168" s="387">
        <f t="shared" si="99"/>
        <v>0</v>
      </c>
      <c r="BP168" s="387">
        <f t="shared" si="100"/>
        <v>0</v>
      </c>
      <c r="BQ168" s="387">
        <f t="shared" si="101"/>
        <v>0</v>
      </c>
      <c r="BR168" s="387">
        <f t="shared" si="102"/>
        <v>0</v>
      </c>
      <c r="BS168" s="387">
        <f t="shared" si="103"/>
        <v>0</v>
      </c>
      <c r="BT168" s="387">
        <f t="shared" si="104"/>
        <v>0</v>
      </c>
      <c r="BU168" s="387">
        <f t="shared" si="105"/>
        <v>0</v>
      </c>
      <c r="BV168" s="387">
        <f t="shared" si="106"/>
        <v>0</v>
      </c>
      <c r="BW168" s="387">
        <f t="shared" si="107"/>
        <v>0</v>
      </c>
      <c r="BX168" s="387">
        <f t="shared" si="122"/>
        <v>0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0</v>
      </c>
      <c r="CI168" s="387">
        <f t="shared" si="114"/>
        <v>0</v>
      </c>
      <c r="CJ168" s="387">
        <f t="shared" si="127"/>
        <v>0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0456-00</v>
      </c>
    </row>
    <row r="169" spans="1:92" ht="15.75" thickBot="1" x14ac:dyDescent="0.3">
      <c r="A169" s="376" t="s">
        <v>161</v>
      </c>
      <c r="B169" s="376" t="s">
        <v>162</v>
      </c>
      <c r="C169" s="376" t="s">
        <v>204</v>
      </c>
      <c r="D169" s="376" t="s">
        <v>205</v>
      </c>
      <c r="E169" s="376" t="s">
        <v>755</v>
      </c>
      <c r="F169" s="382" t="s">
        <v>756</v>
      </c>
      <c r="G169" s="376" t="s">
        <v>757</v>
      </c>
      <c r="H169" s="378"/>
      <c r="I169" s="378"/>
      <c r="J169" s="376" t="s">
        <v>196</v>
      </c>
      <c r="K169" s="376" t="s">
        <v>206</v>
      </c>
      <c r="L169" s="376" t="s">
        <v>166</v>
      </c>
      <c r="M169" s="376" t="s">
        <v>207</v>
      </c>
      <c r="N169" s="376" t="s">
        <v>208</v>
      </c>
      <c r="O169" s="379">
        <v>0</v>
      </c>
      <c r="P169" s="385">
        <v>0.04</v>
      </c>
      <c r="Q169" s="385">
        <v>0</v>
      </c>
      <c r="R169" s="380">
        <v>0</v>
      </c>
      <c r="S169" s="385">
        <v>0</v>
      </c>
      <c r="T169" s="380">
        <v>0</v>
      </c>
      <c r="U169" s="380">
        <v>0</v>
      </c>
      <c r="V169" s="380">
        <v>0</v>
      </c>
      <c r="W169" s="380">
        <v>0</v>
      </c>
      <c r="X169" s="380">
        <v>0</v>
      </c>
      <c r="Y169" s="380">
        <v>0</v>
      </c>
      <c r="Z169" s="380">
        <v>0</v>
      </c>
      <c r="AA169" s="378"/>
      <c r="AB169" s="376" t="s">
        <v>45</v>
      </c>
      <c r="AC169" s="376" t="s">
        <v>45</v>
      </c>
      <c r="AD169" s="378"/>
      <c r="AE169" s="378"/>
      <c r="AF169" s="378"/>
      <c r="AG169" s="378"/>
      <c r="AH169" s="379">
        <v>0</v>
      </c>
      <c r="AI169" s="379">
        <v>0</v>
      </c>
      <c r="AJ169" s="378"/>
      <c r="AK169" s="378"/>
      <c r="AL169" s="376" t="s">
        <v>181</v>
      </c>
      <c r="AM169" s="378"/>
      <c r="AN169" s="378"/>
      <c r="AO169" s="379">
        <v>0</v>
      </c>
      <c r="AP169" s="385">
        <v>0</v>
      </c>
      <c r="AQ169" s="385">
        <v>0</v>
      </c>
      <c r="AR169" s="384"/>
      <c r="AS169" s="387">
        <f t="shared" si="115"/>
        <v>0</v>
      </c>
      <c r="AT169">
        <f t="shared" si="116"/>
        <v>0</v>
      </c>
      <c r="AU169" s="387" t="str">
        <f>IF(AT169=0,"",IF(AND(AT169=1,M169="F",SUMIF(C2:C206,C169,AS2:AS206)&lt;=1),SUMIF(C2:C206,C169,AS2:AS206),IF(AND(AT169=1,M169="F",SUMIF(C2:C206,C169,AS2:AS206)&gt;1),1,"")))</f>
        <v/>
      </c>
      <c r="AV169" s="387" t="str">
        <f>IF(AT169=0,"",IF(AND(AT169=3,M169="F",SUMIF(C2:C206,C169,AS2:AS206)&lt;=1),SUMIF(C2:C206,C169,AS2:AS206),IF(AND(AT169=3,M169="F",SUMIF(C2:C206,C169,AS2:AS206)&gt;1),1,"")))</f>
        <v/>
      </c>
      <c r="AW169" s="387">
        <f>SUMIF(C2:C206,C169,O2:O206)</f>
        <v>0</v>
      </c>
      <c r="AX169" s="387">
        <f>IF(AND(M169="F",AS169&lt;&gt;0),SUMIF(C2:C206,C169,W2:W206),0)</f>
        <v>0</v>
      </c>
      <c r="AY169" s="387" t="str">
        <f t="shared" si="117"/>
        <v/>
      </c>
      <c r="AZ169" s="387" t="str">
        <f t="shared" si="118"/>
        <v/>
      </c>
      <c r="BA169" s="387">
        <f t="shared" si="119"/>
        <v>0</v>
      </c>
      <c r="BB169" s="387">
        <f t="shared" si="88"/>
        <v>0</v>
      </c>
      <c r="BC169" s="387">
        <f t="shared" si="89"/>
        <v>0</v>
      </c>
      <c r="BD169" s="387">
        <f t="shared" si="90"/>
        <v>0</v>
      </c>
      <c r="BE169" s="387">
        <f t="shared" si="91"/>
        <v>0</v>
      </c>
      <c r="BF169" s="387">
        <f t="shared" si="92"/>
        <v>0</v>
      </c>
      <c r="BG169" s="387">
        <f t="shared" si="93"/>
        <v>0</v>
      </c>
      <c r="BH169" s="387">
        <f t="shared" si="94"/>
        <v>0</v>
      </c>
      <c r="BI169" s="387">
        <f t="shared" si="95"/>
        <v>0</v>
      </c>
      <c r="BJ169" s="387">
        <f t="shared" si="96"/>
        <v>0</v>
      </c>
      <c r="BK169" s="387">
        <f t="shared" si="97"/>
        <v>0</v>
      </c>
      <c r="BL169" s="387">
        <f t="shared" si="120"/>
        <v>0</v>
      </c>
      <c r="BM169" s="387">
        <f t="shared" si="121"/>
        <v>0</v>
      </c>
      <c r="BN169" s="387">
        <f t="shared" si="98"/>
        <v>0</v>
      </c>
      <c r="BO169" s="387">
        <f t="shared" si="99"/>
        <v>0</v>
      </c>
      <c r="BP169" s="387">
        <f t="shared" si="100"/>
        <v>0</v>
      </c>
      <c r="BQ169" s="387">
        <f t="shared" si="101"/>
        <v>0</v>
      </c>
      <c r="BR169" s="387">
        <f t="shared" si="102"/>
        <v>0</v>
      </c>
      <c r="BS169" s="387">
        <f t="shared" si="103"/>
        <v>0</v>
      </c>
      <c r="BT169" s="387">
        <f t="shared" si="104"/>
        <v>0</v>
      </c>
      <c r="BU169" s="387">
        <f t="shared" si="105"/>
        <v>0</v>
      </c>
      <c r="BV169" s="387">
        <f t="shared" si="106"/>
        <v>0</v>
      </c>
      <c r="BW169" s="387">
        <f t="shared" si="107"/>
        <v>0</v>
      </c>
      <c r="BX169" s="387">
        <f t="shared" si="122"/>
        <v>0</v>
      </c>
      <c r="BY169" s="387">
        <f t="shared" si="123"/>
        <v>0</v>
      </c>
      <c r="BZ169" s="387">
        <f t="shared" si="124"/>
        <v>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0</v>
      </c>
      <c r="CE169" s="387">
        <f t="shared" si="110"/>
        <v>0</v>
      </c>
      <c r="CF169" s="387">
        <f t="shared" si="111"/>
        <v>0</v>
      </c>
      <c r="CG169" s="387">
        <f t="shared" si="112"/>
        <v>0</v>
      </c>
      <c r="CH169" s="387">
        <f t="shared" si="113"/>
        <v>0</v>
      </c>
      <c r="CI169" s="387">
        <f t="shared" si="114"/>
        <v>0</v>
      </c>
      <c r="CJ169" s="387">
        <f t="shared" si="127"/>
        <v>0</v>
      </c>
      <c r="CK169" s="387" t="str">
        <f t="shared" si="128"/>
        <v/>
      </c>
      <c r="CL169" s="387">
        <f t="shared" si="129"/>
        <v>0</v>
      </c>
      <c r="CM169" s="387">
        <f t="shared" si="130"/>
        <v>0</v>
      </c>
      <c r="CN169" s="387" t="str">
        <f t="shared" si="131"/>
        <v>0461-52</v>
      </c>
    </row>
    <row r="170" spans="1:92" ht="15.75" thickBot="1" x14ac:dyDescent="0.3">
      <c r="A170" s="376" t="s">
        <v>161</v>
      </c>
      <c r="B170" s="376" t="s">
        <v>162</v>
      </c>
      <c r="C170" s="376" t="s">
        <v>758</v>
      </c>
      <c r="D170" s="376" t="s">
        <v>759</v>
      </c>
      <c r="E170" s="376" t="s">
        <v>755</v>
      </c>
      <c r="F170" s="382" t="s">
        <v>756</v>
      </c>
      <c r="G170" s="376" t="s">
        <v>757</v>
      </c>
      <c r="H170" s="378"/>
      <c r="I170" s="378"/>
      <c r="J170" s="376" t="s">
        <v>186</v>
      </c>
      <c r="K170" s="376" t="s">
        <v>760</v>
      </c>
      <c r="L170" s="376" t="s">
        <v>269</v>
      </c>
      <c r="M170" s="376" t="s">
        <v>171</v>
      </c>
      <c r="N170" s="376" t="s">
        <v>172</v>
      </c>
      <c r="O170" s="379">
        <v>1</v>
      </c>
      <c r="P170" s="385">
        <v>1</v>
      </c>
      <c r="Q170" s="385">
        <v>1</v>
      </c>
      <c r="R170" s="380">
        <v>80</v>
      </c>
      <c r="S170" s="385">
        <v>1</v>
      </c>
      <c r="T170" s="380">
        <v>40944.21</v>
      </c>
      <c r="U170" s="380">
        <v>0</v>
      </c>
      <c r="V170" s="380">
        <v>20031.16</v>
      </c>
      <c r="W170" s="380">
        <v>44096</v>
      </c>
      <c r="X170" s="380">
        <v>21570.26</v>
      </c>
      <c r="Y170" s="380">
        <v>44096</v>
      </c>
      <c r="Z170" s="380">
        <v>21354.19</v>
      </c>
      <c r="AA170" s="376" t="s">
        <v>761</v>
      </c>
      <c r="AB170" s="376" t="s">
        <v>762</v>
      </c>
      <c r="AC170" s="376" t="s">
        <v>763</v>
      </c>
      <c r="AD170" s="376" t="s">
        <v>170</v>
      </c>
      <c r="AE170" s="376" t="s">
        <v>760</v>
      </c>
      <c r="AF170" s="376" t="s">
        <v>274</v>
      </c>
      <c r="AG170" s="376" t="s">
        <v>178</v>
      </c>
      <c r="AH170" s="381">
        <v>21.2</v>
      </c>
      <c r="AI170" s="381">
        <v>4434.1000000000004</v>
      </c>
      <c r="AJ170" s="376" t="s">
        <v>179</v>
      </c>
      <c r="AK170" s="376" t="s">
        <v>180</v>
      </c>
      <c r="AL170" s="376" t="s">
        <v>181</v>
      </c>
      <c r="AM170" s="376" t="s">
        <v>182</v>
      </c>
      <c r="AN170" s="376" t="s">
        <v>68</v>
      </c>
      <c r="AO170" s="379">
        <v>80</v>
      </c>
      <c r="AP170" s="385">
        <v>1</v>
      </c>
      <c r="AQ170" s="385">
        <v>1</v>
      </c>
      <c r="AR170" s="383" t="s">
        <v>183</v>
      </c>
      <c r="AS170" s="387">
        <f t="shared" si="115"/>
        <v>1</v>
      </c>
      <c r="AT170">
        <f t="shared" si="116"/>
        <v>1</v>
      </c>
      <c r="AU170" s="387">
        <f>IF(AT170=0,"",IF(AND(AT170=1,M170="F",SUMIF(C2:C206,C170,AS2:AS206)&lt;=1),SUMIF(C2:C206,C170,AS2:AS206),IF(AND(AT170=1,M170="F",SUMIF(C2:C206,C170,AS2:AS206)&gt;1),1,"")))</f>
        <v>1</v>
      </c>
      <c r="AV170" s="387" t="str">
        <f>IF(AT170=0,"",IF(AND(AT170=3,M170="F",SUMIF(C2:C206,C170,AS2:AS206)&lt;=1),SUMIF(C2:C206,C170,AS2:AS206),IF(AND(AT170=3,M170="F",SUMIF(C2:C206,C170,AS2:AS206)&gt;1),1,"")))</f>
        <v/>
      </c>
      <c r="AW170" s="387">
        <f>SUMIF(C2:C206,C170,O2:O206)</f>
        <v>1</v>
      </c>
      <c r="AX170" s="387">
        <f>IF(AND(M170="F",AS170&lt;&gt;0),SUMIF(C2:C206,C170,W2:W206),0)</f>
        <v>44096</v>
      </c>
      <c r="AY170" s="387">
        <f t="shared" si="117"/>
        <v>44096</v>
      </c>
      <c r="AZ170" s="387" t="str">
        <f t="shared" si="118"/>
        <v/>
      </c>
      <c r="BA170" s="387">
        <f t="shared" si="119"/>
        <v>0</v>
      </c>
      <c r="BB170" s="387">
        <f t="shared" si="88"/>
        <v>11650</v>
      </c>
      <c r="BC170" s="387">
        <f t="shared" si="89"/>
        <v>0</v>
      </c>
      <c r="BD170" s="387">
        <f t="shared" si="90"/>
        <v>2733.9519999999998</v>
      </c>
      <c r="BE170" s="387">
        <f t="shared" si="91"/>
        <v>639.39200000000005</v>
      </c>
      <c r="BF170" s="387">
        <f t="shared" si="92"/>
        <v>5265.0624000000007</v>
      </c>
      <c r="BG170" s="387">
        <f t="shared" si="93"/>
        <v>317.93216000000001</v>
      </c>
      <c r="BH170" s="387">
        <f t="shared" si="94"/>
        <v>216.07040000000001</v>
      </c>
      <c r="BI170" s="387">
        <f t="shared" si="95"/>
        <v>134.93375999999998</v>
      </c>
      <c r="BJ170" s="387">
        <f t="shared" si="96"/>
        <v>612.93439999999998</v>
      </c>
      <c r="BK170" s="387">
        <f t="shared" si="97"/>
        <v>0</v>
      </c>
      <c r="BL170" s="387">
        <f t="shared" si="120"/>
        <v>9920.2771200000007</v>
      </c>
      <c r="BM170" s="387">
        <f t="shared" si="121"/>
        <v>0</v>
      </c>
      <c r="BN170" s="387">
        <f t="shared" si="98"/>
        <v>11650</v>
      </c>
      <c r="BO170" s="387">
        <f t="shared" si="99"/>
        <v>0</v>
      </c>
      <c r="BP170" s="387">
        <f t="shared" si="100"/>
        <v>2733.9519999999998</v>
      </c>
      <c r="BQ170" s="387">
        <f t="shared" si="101"/>
        <v>639.39200000000005</v>
      </c>
      <c r="BR170" s="387">
        <f t="shared" si="102"/>
        <v>5265.0624000000007</v>
      </c>
      <c r="BS170" s="387">
        <f t="shared" si="103"/>
        <v>317.93216000000001</v>
      </c>
      <c r="BT170" s="387">
        <f t="shared" si="104"/>
        <v>0</v>
      </c>
      <c r="BU170" s="387">
        <f t="shared" si="105"/>
        <v>134.93375999999998</v>
      </c>
      <c r="BV170" s="387">
        <f t="shared" si="106"/>
        <v>612.93439999999998</v>
      </c>
      <c r="BW170" s="387">
        <f t="shared" si="107"/>
        <v>0</v>
      </c>
      <c r="BX170" s="387">
        <f t="shared" si="122"/>
        <v>9704.2067200000001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-216.07040000000001</v>
      </c>
      <c r="CG170" s="387">
        <f t="shared" si="112"/>
        <v>0</v>
      </c>
      <c r="CH170" s="387">
        <f t="shared" si="113"/>
        <v>0</v>
      </c>
      <c r="CI170" s="387">
        <f t="shared" si="114"/>
        <v>0</v>
      </c>
      <c r="CJ170" s="387">
        <f t="shared" si="127"/>
        <v>-216.07040000000001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0461-52</v>
      </c>
    </row>
    <row r="171" spans="1:92" ht="15.75" thickBot="1" x14ac:dyDescent="0.3">
      <c r="A171" s="376" t="s">
        <v>161</v>
      </c>
      <c r="B171" s="376" t="s">
        <v>162</v>
      </c>
      <c r="C171" s="376" t="s">
        <v>764</v>
      </c>
      <c r="D171" s="376" t="s">
        <v>765</v>
      </c>
      <c r="E171" s="376" t="s">
        <v>755</v>
      </c>
      <c r="F171" s="382" t="s">
        <v>756</v>
      </c>
      <c r="G171" s="376" t="s">
        <v>757</v>
      </c>
      <c r="H171" s="378"/>
      <c r="I171" s="378"/>
      <c r="J171" s="376" t="s">
        <v>186</v>
      </c>
      <c r="K171" s="376" t="s">
        <v>766</v>
      </c>
      <c r="L171" s="376" t="s">
        <v>441</v>
      </c>
      <c r="M171" s="376" t="s">
        <v>171</v>
      </c>
      <c r="N171" s="376" t="s">
        <v>172</v>
      </c>
      <c r="O171" s="379">
        <v>1</v>
      </c>
      <c r="P171" s="385">
        <v>1</v>
      </c>
      <c r="Q171" s="385">
        <v>1</v>
      </c>
      <c r="R171" s="380">
        <v>80</v>
      </c>
      <c r="S171" s="385">
        <v>1</v>
      </c>
      <c r="T171" s="380">
        <v>38612.800000000003</v>
      </c>
      <c r="U171" s="380">
        <v>0</v>
      </c>
      <c r="V171" s="380">
        <v>19240.98</v>
      </c>
      <c r="W171" s="380">
        <v>38937.599999999999</v>
      </c>
      <c r="X171" s="380">
        <v>20409.759999999998</v>
      </c>
      <c r="Y171" s="380">
        <v>38937.599999999999</v>
      </c>
      <c r="Z171" s="380">
        <v>20218.97</v>
      </c>
      <c r="AA171" s="376" t="s">
        <v>767</v>
      </c>
      <c r="AB171" s="376" t="s">
        <v>768</v>
      </c>
      <c r="AC171" s="376" t="s">
        <v>769</v>
      </c>
      <c r="AD171" s="376" t="s">
        <v>770</v>
      </c>
      <c r="AE171" s="376" t="s">
        <v>766</v>
      </c>
      <c r="AF171" s="376" t="s">
        <v>445</v>
      </c>
      <c r="AG171" s="376" t="s">
        <v>178</v>
      </c>
      <c r="AH171" s="381">
        <v>18.72</v>
      </c>
      <c r="AI171" s="379">
        <v>7443</v>
      </c>
      <c r="AJ171" s="376" t="s">
        <v>179</v>
      </c>
      <c r="AK171" s="376" t="s">
        <v>180</v>
      </c>
      <c r="AL171" s="376" t="s">
        <v>181</v>
      </c>
      <c r="AM171" s="376" t="s">
        <v>182</v>
      </c>
      <c r="AN171" s="376" t="s">
        <v>68</v>
      </c>
      <c r="AO171" s="379">
        <v>80</v>
      </c>
      <c r="AP171" s="385">
        <v>1</v>
      </c>
      <c r="AQ171" s="385">
        <v>1</v>
      </c>
      <c r="AR171" s="383" t="s">
        <v>183</v>
      </c>
      <c r="AS171" s="387">
        <f t="shared" si="115"/>
        <v>1</v>
      </c>
      <c r="AT171">
        <f t="shared" si="116"/>
        <v>1</v>
      </c>
      <c r="AU171" s="387">
        <f>IF(AT171=0,"",IF(AND(AT171=1,M171="F",SUMIF(C2:C206,C171,AS2:AS206)&lt;=1),SUMIF(C2:C206,C171,AS2:AS206),IF(AND(AT171=1,M171="F",SUMIF(C2:C206,C171,AS2:AS206)&gt;1),1,"")))</f>
        <v>1</v>
      </c>
      <c r="AV171" s="387" t="str">
        <f>IF(AT171=0,"",IF(AND(AT171=3,M171="F",SUMIF(C2:C206,C171,AS2:AS206)&lt;=1),SUMIF(C2:C206,C171,AS2:AS206),IF(AND(AT171=3,M171="F",SUMIF(C2:C206,C171,AS2:AS206)&gt;1),1,"")))</f>
        <v/>
      </c>
      <c r="AW171" s="387">
        <f>SUMIF(C2:C206,C171,O2:O206)</f>
        <v>1</v>
      </c>
      <c r="AX171" s="387">
        <f>IF(AND(M171="F",AS171&lt;&gt;0),SUMIF(C2:C206,C171,W2:W206),0)</f>
        <v>38937.599999999999</v>
      </c>
      <c r="AY171" s="387">
        <f t="shared" si="117"/>
        <v>38937.599999999999</v>
      </c>
      <c r="AZ171" s="387" t="str">
        <f t="shared" si="118"/>
        <v/>
      </c>
      <c r="BA171" s="387">
        <f t="shared" si="119"/>
        <v>0</v>
      </c>
      <c r="BB171" s="387">
        <f t="shared" si="88"/>
        <v>11650</v>
      </c>
      <c r="BC171" s="387">
        <f t="shared" si="89"/>
        <v>0</v>
      </c>
      <c r="BD171" s="387">
        <f t="shared" si="90"/>
        <v>2414.1311999999998</v>
      </c>
      <c r="BE171" s="387">
        <f t="shared" si="91"/>
        <v>564.59519999999998</v>
      </c>
      <c r="BF171" s="387">
        <f t="shared" si="92"/>
        <v>4649.1494400000001</v>
      </c>
      <c r="BG171" s="387">
        <f t="shared" si="93"/>
        <v>280.74009599999999</v>
      </c>
      <c r="BH171" s="387">
        <f t="shared" si="94"/>
        <v>190.79423999999997</v>
      </c>
      <c r="BI171" s="387">
        <f t="shared" si="95"/>
        <v>119.14905599999999</v>
      </c>
      <c r="BJ171" s="387">
        <f t="shared" si="96"/>
        <v>541.23263999999995</v>
      </c>
      <c r="BK171" s="387">
        <f t="shared" si="97"/>
        <v>0</v>
      </c>
      <c r="BL171" s="387">
        <f t="shared" si="120"/>
        <v>8759.7918719999998</v>
      </c>
      <c r="BM171" s="387">
        <f t="shared" si="121"/>
        <v>0</v>
      </c>
      <c r="BN171" s="387">
        <f t="shared" si="98"/>
        <v>11650</v>
      </c>
      <c r="BO171" s="387">
        <f t="shared" si="99"/>
        <v>0</v>
      </c>
      <c r="BP171" s="387">
        <f t="shared" si="100"/>
        <v>2414.1311999999998</v>
      </c>
      <c r="BQ171" s="387">
        <f t="shared" si="101"/>
        <v>564.59519999999998</v>
      </c>
      <c r="BR171" s="387">
        <f t="shared" si="102"/>
        <v>4649.1494400000001</v>
      </c>
      <c r="BS171" s="387">
        <f t="shared" si="103"/>
        <v>280.74009599999999</v>
      </c>
      <c r="BT171" s="387">
        <f t="shared" si="104"/>
        <v>0</v>
      </c>
      <c r="BU171" s="387">
        <f t="shared" si="105"/>
        <v>119.14905599999999</v>
      </c>
      <c r="BV171" s="387">
        <f t="shared" si="106"/>
        <v>541.23263999999995</v>
      </c>
      <c r="BW171" s="387">
        <f t="shared" si="107"/>
        <v>0</v>
      </c>
      <c r="BX171" s="387">
        <f t="shared" si="122"/>
        <v>8568.9976320000005</v>
      </c>
      <c r="BY171" s="387">
        <f t="shared" si="123"/>
        <v>0</v>
      </c>
      <c r="BZ171" s="387">
        <f t="shared" si="124"/>
        <v>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0</v>
      </c>
      <c r="CE171" s="387">
        <f t="shared" si="110"/>
        <v>0</v>
      </c>
      <c r="CF171" s="387">
        <f t="shared" si="111"/>
        <v>-190.79423999999997</v>
      </c>
      <c r="CG171" s="387">
        <f t="shared" si="112"/>
        <v>0</v>
      </c>
      <c r="CH171" s="387">
        <f t="shared" si="113"/>
        <v>0</v>
      </c>
      <c r="CI171" s="387">
        <f t="shared" si="114"/>
        <v>0</v>
      </c>
      <c r="CJ171" s="387">
        <f t="shared" si="127"/>
        <v>-190.79423999999997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0461-52</v>
      </c>
    </row>
    <row r="172" spans="1:92" ht="15.75" thickBot="1" x14ac:dyDescent="0.3">
      <c r="A172" s="376" t="s">
        <v>161</v>
      </c>
      <c r="B172" s="376" t="s">
        <v>162</v>
      </c>
      <c r="C172" s="376" t="s">
        <v>771</v>
      </c>
      <c r="D172" s="376" t="s">
        <v>772</v>
      </c>
      <c r="E172" s="376" t="s">
        <v>755</v>
      </c>
      <c r="F172" s="382" t="s">
        <v>756</v>
      </c>
      <c r="G172" s="376" t="s">
        <v>757</v>
      </c>
      <c r="H172" s="378"/>
      <c r="I172" s="378"/>
      <c r="J172" s="376" t="s">
        <v>186</v>
      </c>
      <c r="K172" s="376" t="s">
        <v>773</v>
      </c>
      <c r="L172" s="376" t="s">
        <v>283</v>
      </c>
      <c r="M172" s="376" t="s">
        <v>171</v>
      </c>
      <c r="N172" s="376" t="s">
        <v>172</v>
      </c>
      <c r="O172" s="379">
        <v>1</v>
      </c>
      <c r="P172" s="385">
        <v>1</v>
      </c>
      <c r="Q172" s="385">
        <v>1</v>
      </c>
      <c r="R172" s="380">
        <v>80</v>
      </c>
      <c r="S172" s="385">
        <v>1</v>
      </c>
      <c r="T172" s="380">
        <v>59932</v>
      </c>
      <c r="U172" s="380">
        <v>0</v>
      </c>
      <c r="V172" s="380">
        <v>23043.02</v>
      </c>
      <c r="W172" s="380">
        <v>63294.400000000001</v>
      </c>
      <c r="X172" s="380">
        <v>25889.32</v>
      </c>
      <c r="Y172" s="380">
        <v>63294.400000000001</v>
      </c>
      <c r="Z172" s="380">
        <v>25579.18</v>
      </c>
      <c r="AA172" s="376" t="s">
        <v>774</v>
      </c>
      <c r="AB172" s="376" t="s">
        <v>775</v>
      </c>
      <c r="AC172" s="376" t="s">
        <v>429</v>
      </c>
      <c r="AD172" s="376" t="s">
        <v>674</v>
      </c>
      <c r="AE172" s="376" t="s">
        <v>773</v>
      </c>
      <c r="AF172" s="376" t="s">
        <v>288</v>
      </c>
      <c r="AG172" s="376" t="s">
        <v>178</v>
      </c>
      <c r="AH172" s="381">
        <v>30.43</v>
      </c>
      <c r="AI172" s="379">
        <v>2360</v>
      </c>
      <c r="AJ172" s="376" t="s">
        <v>179</v>
      </c>
      <c r="AK172" s="376" t="s">
        <v>180</v>
      </c>
      <c r="AL172" s="376" t="s">
        <v>181</v>
      </c>
      <c r="AM172" s="376" t="s">
        <v>182</v>
      </c>
      <c r="AN172" s="376" t="s">
        <v>68</v>
      </c>
      <c r="AO172" s="379">
        <v>80</v>
      </c>
      <c r="AP172" s="385">
        <v>1</v>
      </c>
      <c r="AQ172" s="385">
        <v>1</v>
      </c>
      <c r="AR172" s="383" t="s">
        <v>183</v>
      </c>
      <c r="AS172" s="387">
        <f t="shared" si="115"/>
        <v>1</v>
      </c>
      <c r="AT172">
        <f t="shared" si="116"/>
        <v>1</v>
      </c>
      <c r="AU172" s="387">
        <f>IF(AT172=0,"",IF(AND(AT172=1,M172="F",SUMIF(C2:C206,C172,AS2:AS206)&lt;=1),SUMIF(C2:C206,C172,AS2:AS206),IF(AND(AT172=1,M172="F",SUMIF(C2:C206,C172,AS2:AS206)&gt;1),1,"")))</f>
        <v>1</v>
      </c>
      <c r="AV172" s="387" t="str">
        <f>IF(AT172=0,"",IF(AND(AT172=3,M172="F",SUMIF(C2:C206,C172,AS2:AS206)&lt;=1),SUMIF(C2:C206,C172,AS2:AS206),IF(AND(AT172=3,M172="F",SUMIF(C2:C206,C172,AS2:AS206)&gt;1),1,"")))</f>
        <v/>
      </c>
      <c r="AW172" s="387">
        <f>SUMIF(C2:C206,C172,O2:O206)</f>
        <v>1</v>
      </c>
      <c r="AX172" s="387">
        <f>IF(AND(M172="F",AS172&lt;&gt;0),SUMIF(C2:C206,C172,W2:W206),0)</f>
        <v>63294.400000000001</v>
      </c>
      <c r="AY172" s="387">
        <f t="shared" si="117"/>
        <v>63294.400000000001</v>
      </c>
      <c r="AZ172" s="387" t="str">
        <f t="shared" si="118"/>
        <v/>
      </c>
      <c r="BA172" s="387">
        <f t="shared" si="119"/>
        <v>0</v>
      </c>
      <c r="BB172" s="387">
        <f t="shared" si="88"/>
        <v>11650</v>
      </c>
      <c r="BC172" s="387">
        <f t="shared" si="89"/>
        <v>0</v>
      </c>
      <c r="BD172" s="387">
        <f t="shared" si="90"/>
        <v>3924.2528000000002</v>
      </c>
      <c r="BE172" s="387">
        <f t="shared" si="91"/>
        <v>917.76880000000006</v>
      </c>
      <c r="BF172" s="387">
        <f t="shared" si="92"/>
        <v>7557.3513600000006</v>
      </c>
      <c r="BG172" s="387">
        <f t="shared" si="93"/>
        <v>456.35262400000005</v>
      </c>
      <c r="BH172" s="387">
        <f t="shared" si="94"/>
        <v>310.14256</v>
      </c>
      <c r="BI172" s="387">
        <f t="shared" si="95"/>
        <v>193.68086399999999</v>
      </c>
      <c r="BJ172" s="387">
        <f t="shared" si="96"/>
        <v>879.79215999999997</v>
      </c>
      <c r="BK172" s="387">
        <f t="shared" si="97"/>
        <v>0</v>
      </c>
      <c r="BL172" s="387">
        <f t="shared" si="120"/>
        <v>14239.341167999999</v>
      </c>
      <c r="BM172" s="387">
        <f t="shared" si="121"/>
        <v>0</v>
      </c>
      <c r="BN172" s="387">
        <f t="shared" si="98"/>
        <v>11650</v>
      </c>
      <c r="BO172" s="387">
        <f t="shared" si="99"/>
        <v>0</v>
      </c>
      <c r="BP172" s="387">
        <f t="shared" si="100"/>
        <v>3924.2528000000002</v>
      </c>
      <c r="BQ172" s="387">
        <f t="shared" si="101"/>
        <v>917.76880000000006</v>
      </c>
      <c r="BR172" s="387">
        <f t="shared" si="102"/>
        <v>7557.3513600000006</v>
      </c>
      <c r="BS172" s="387">
        <f t="shared" si="103"/>
        <v>456.35262400000005</v>
      </c>
      <c r="BT172" s="387">
        <f t="shared" si="104"/>
        <v>0</v>
      </c>
      <c r="BU172" s="387">
        <f t="shared" si="105"/>
        <v>193.68086399999999</v>
      </c>
      <c r="BV172" s="387">
        <f t="shared" si="106"/>
        <v>879.79215999999997</v>
      </c>
      <c r="BW172" s="387">
        <f t="shared" si="107"/>
        <v>0</v>
      </c>
      <c r="BX172" s="387">
        <f t="shared" si="122"/>
        <v>13929.198607999999</v>
      </c>
      <c r="BY172" s="387">
        <f t="shared" si="123"/>
        <v>0</v>
      </c>
      <c r="BZ172" s="387">
        <f t="shared" si="124"/>
        <v>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0</v>
      </c>
      <c r="CE172" s="387">
        <f t="shared" si="110"/>
        <v>0</v>
      </c>
      <c r="CF172" s="387">
        <f t="shared" si="111"/>
        <v>-310.14256</v>
      </c>
      <c r="CG172" s="387">
        <f t="shared" si="112"/>
        <v>0</v>
      </c>
      <c r="CH172" s="387">
        <f t="shared" si="113"/>
        <v>0</v>
      </c>
      <c r="CI172" s="387">
        <f t="shared" si="114"/>
        <v>0</v>
      </c>
      <c r="CJ172" s="387">
        <f t="shared" si="127"/>
        <v>-310.14256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0461-52</v>
      </c>
    </row>
    <row r="173" spans="1:92" ht="15.75" thickBot="1" x14ac:dyDescent="0.3">
      <c r="A173" s="376" t="s">
        <v>161</v>
      </c>
      <c r="B173" s="376" t="s">
        <v>162</v>
      </c>
      <c r="C173" s="376" t="s">
        <v>194</v>
      </c>
      <c r="D173" s="376" t="s">
        <v>195</v>
      </c>
      <c r="E173" s="376" t="s">
        <v>755</v>
      </c>
      <c r="F173" s="382" t="s">
        <v>756</v>
      </c>
      <c r="G173" s="376" t="s">
        <v>757</v>
      </c>
      <c r="H173" s="378"/>
      <c r="I173" s="378"/>
      <c r="J173" s="376" t="s">
        <v>196</v>
      </c>
      <c r="K173" s="376" t="s">
        <v>197</v>
      </c>
      <c r="L173" s="376" t="s">
        <v>166</v>
      </c>
      <c r="M173" s="376" t="s">
        <v>171</v>
      </c>
      <c r="N173" s="376" t="s">
        <v>198</v>
      </c>
      <c r="O173" s="379">
        <v>1</v>
      </c>
      <c r="P173" s="385">
        <v>0.06</v>
      </c>
      <c r="Q173" s="385">
        <v>0.06</v>
      </c>
      <c r="R173" s="380">
        <v>80</v>
      </c>
      <c r="S173" s="385">
        <v>0.06</v>
      </c>
      <c r="T173" s="380">
        <v>7416.85</v>
      </c>
      <c r="U173" s="380">
        <v>0</v>
      </c>
      <c r="V173" s="380">
        <v>2151.6799999999998</v>
      </c>
      <c r="W173" s="380">
        <v>7936.03</v>
      </c>
      <c r="X173" s="380">
        <v>2421.19</v>
      </c>
      <c r="Y173" s="380">
        <v>7936.03</v>
      </c>
      <c r="Z173" s="380">
        <v>2421.19</v>
      </c>
      <c r="AA173" s="376" t="s">
        <v>199</v>
      </c>
      <c r="AB173" s="376" t="s">
        <v>200</v>
      </c>
      <c r="AC173" s="376" t="s">
        <v>201</v>
      </c>
      <c r="AD173" s="376" t="s">
        <v>202</v>
      </c>
      <c r="AE173" s="376" t="s">
        <v>197</v>
      </c>
      <c r="AF173" s="376" t="s">
        <v>203</v>
      </c>
      <c r="AG173" s="376" t="s">
        <v>178</v>
      </c>
      <c r="AH173" s="381">
        <v>63.59</v>
      </c>
      <c r="AI173" s="379">
        <v>24698</v>
      </c>
      <c r="AJ173" s="376" t="s">
        <v>179</v>
      </c>
      <c r="AK173" s="376" t="s">
        <v>180</v>
      </c>
      <c r="AL173" s="376" t="s">
        <v>181</v>
      </c>
      <c r="AM173" s="376" t="s">
        <v>181</v>
      </c>
      <c r="AN173" s="376" t="s">
        <v>68</v>
      </c>
      <c r="AO173" s="379">
        <v>80</v>
      </c>
      <c r="AP173" s="385">
        <v>1</v>
      </c>
      <c r="AQ173" s="385">
        <v>0.06</v>
      </c>
      <c r="AR173" s="383" t="s">
        <v>183</v>
      </c>
      <c r="AS173" s="387">
        <f t="shared" si="115"/>
        <v>0.06</v>
      </c>
      <c r="AT173">
        <f t="shared" si="116"/>
        <v>1</v>
      </c>
      <c r="AU173" s="387">
        <f>IF(AT173=0,"",IF(AND(AT173=1,M173="F",SUMIF(C2:C206,C173,AS2:AS206)&lt;=1),SUMIF(C2:C206,C173,AS2:AS206),IF(AND(AT173=1,M173="F",SUMIF(C2:C206,C173,AS2:AS206)&gt;1),1,"")))</f>
        <v>1</v>
      </c>
      <c r="AV173" s="387" t="str">
        <f>IF(AT173=0,"",IF(AND(AT173=3,M173="F",SUMIF(C2:C206,C173,AS2:AS206)&lt;=1),SUMIF(C2:C206,C173,AS2:AS206),IF(AND(AT173=3,M173="F",SUMIF(C2:C206,C173,AS2:AS206)&gt;1),1,"")))</f>
        <v/>
      </c>
      <c r="AW173" s="387">
        <f>SUMIF(C2:C206,C173,O2:O206)</f>
        <v>7</v>
      </c>
      <c r="AX173" s="387">
        <f>IF(AND(M173="F",AS173&lt;&gt;0),SUMIF(C2:C206,C173,W2:W206),0)</f>
        <v>132267.19</v>
      </c>
      <c r="AY173" s="387">
        <f t="shared" si="117"/>
        <v>7936.03</v>
      </c>
      <c r="AZ173" s="387" t="str">
        <f t="shared" si="118"/>
        <v/>
      </c>
      <c r="BA173" s="387">
        <f t="shared" si="119"/>
        <v>0</v>
      </c>
      <c r="BB173" s="387">
        <f t="shared" si="88"/>
        <v>699</v>
      </c>
      <c r="BC173" s="387">
        <f t="shared" si="89"/>
        <v>0</v>
      </c>
      <c r="BD173" s="387">
        <f t="shared" si="90"/>
        <v>492.03386</v>
      </c>
      <c r="BE173" s="387">
        <f t="shared" si="91"/>
        <v>115.072435</v>
      </c>
      <c r="BF173" s="387">
        <f t="shared" si="92"/>
        <v>947.56198200000006</v>
      </c>
      <c r="BG173" s="387">
        <f t="shared" si="93"/>
        <v>57.218776300000002</v>
      </c>
      <c r="BH173" s="387">
        <f t="shared" si="94"/>
        <v>0</v>
      </c>
      <c r="BI173" s="387">
        <f t="shared" si="95"/>
        <v>0</v>
      </c>
      <c r="BJ173" s="387">
        <f t="shared" si="96"/>
        <v>110.31081699999999</v>
      </c>
      <c r="BK173" s="387">
        <f t="shared" si="97"/>
        <v>0</v>
      </c>
      <c r="BL173" s="387">
        <f t="shared" si="120"/>
        <v>1722.1978703000002</v>
      </c>
      <c r="BM173" s="387">
        <f t="shared" si="121"/>
        <v>0</v>
      </c>
      <c r="BN173" s="387">
        <f t="shared" si="98"/>
        <v>699</v>
      </c>
      <c r="BO173" s="387">
        <f t="shared" si="99"/>
        <v>0</v>
      </c>
      <c r="BP173" s="387">
        <f t="shared" si="100"/>
        <v>492.03386</v>
      </c>
      <c r="BQ173" s="387">
        <f t="shared" si="101"/>
        <v>115.072435</v>
      </c>
      <c r="BR173" s="387">
        <f t="shared" si="102"/>
        <v>947.56198200000006</v>
      </c>
      <c r="BS173" s="387">
        <f t="shared" si="103"/>
        <v>57.218776300000002</v>
      </c>
      <c r="BT173" s="387">
        <f t="shared" si="104"/>
        <v>0</v>
      </c>
      <c r="BU173" s="387">
        <f t="shared" si="105"/>
        <v>0</v>
      </c>
      <c r="BV173" s="387">
        <f t="shared" si="106"/>
        <v>110.31081699999999</v>
      </c>
      <c r="BW173" s="387">
        <f t="shared" si="107"/>
        <v>0</v>
      </c>
      <c r="BX173" s="387">
        <f t="shared" si="122"/>
        <v>1722.1978703000002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0</v>
      </c>
      <c r="CG173" s="387">
        <f t="shared" si="112"/>
        <v>0</v>
      </c>
      <c r="CH173" s="387">
        <f t="shared" si="113"/>
        <v>0</v>
      </c>
      <c r="CI173" s="387">
        <f t="shared" si="114"/>
        <v>0</v>
      </c>
      <c r="CJ173" s="387">
        <f t="shared" si="127"/>
        <v>0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0461-52</v>
      </c>
    </row>
    <row r="174" spans="1:92" ht="15.75" thickBot="1" x14ac:dyDescent="0.3">
      <c r="A174" s="376" t="s">
        <v>161</v>
      </c>
      <c r="B174" s="376" t="s">
        <v>162</v>
      </c>
      <c r="C174" s="376" t="s">
        <v>776</v>
      </c>
      <c r="D174" s="376" t="s">
        <v>185</v>
      </c>
      <c r="E174" s="376" t="s">
        <v>755</v>
      </c>
      <c r="F174" s="382" t="s">
        <v>756</v>
      </c>
      <c r="G174" s="376" t="s">
        <v>757</v>
      </c>
      <c r="H174" s="378"/>
      <c r="I174" s="378"/>
      <c r="J174" s="376" t="s">
        <v>186</v>
      </c>
      <c r="K174" s="376" t="s">
        <v>187</v>
      </c>
      <c r="L174" s="376" t="s">
        <v>188</v>
      </c>
      <c r="M174" s="376" t="s">
        <v>171</v>
      </c>
      <c r="N174" s="376" t="s">
        <v>172</v>
      </c>
      <c r="O174" s="379">
        <v>1</v>
      </c>
      <c r="P174" s="385">
        <v>1</v>
      </c>
      <c r="Q174" s="385">
        <v>1</v>
      </c>
      <c r="R174" s="380">
        <v>80</v>
      </c>
      <c r="S174" s="385">
        <v>1</v>
      </c>
      <c r="T174" s="380">
        <v>48776</v>
      </c>
      <c r="U174" s="380">
        <v>0</v>
      </c>
      <c r="V174" s="380">
        <v>21512.09</v>
      </c>
      <c r="W174" s="380">
        <v>49171.199999999997</v>
      </c>
      <c r="X174" s="380">
        <v>22712.01</v>
      </c>
      <c r="Y174" s="380">
        <v>49171.199999999997</v>
      </c>
      <c r="Z174" s="380">
        <v>22471.08</v>
      </c>
      <c r="AA174" s="376" t="s">
        <v>777</v>
      </c>
      <c r="AB174" s="376" t="s">
        <v>778</v>
      </c>
      <c r="AC174" s="376" t="s">
        <v>779</v>
      </c>
      <c r="AD174" s="376" t="s">
        <v>372</v>
      </c>
      <c r="AE174" s="376" t="s">
        <v>187</v>
      </c>
      <c r="AF174" s="376" t="s">
        <v>193</v>
      </c>
      <c r="AG174" s="376" t="s">
        <v>178</v>
      </c>
      <c r="AH174" s="381">
        <v>23.64</v>
      </c>
      <c r="AI174" s="381">
        <v>30309.5</v>
      </c>
      <c r="AJ174" s="376" t="s">
        <v>179</v>
      </c>
      <c r="AK174" s="376" t="s">
        <v>180</v>
      </c>
      <c r="AL174" s="376" t="s">
        <v>181</v>
      </c>
      <c r="AM174" s="376" t="s">
        <v>182</v>
      </c>
      <c r="AN174" s="376" t="s">
        <v>68</v>
      </c>
      <c r="AO174" s="379">
        <v>80</v>
      </c>
      <c r="AP174" s="385">
        <v>1</v>
      </c>
      <c r="AQ174" s="385">
        <v>1</v>
      </c>
      <c r="AR174" s="383" t="s">
        <v>183</v>
      </c>
      <c r="AS174" s="387">
        <f t="shared" si="115"/>
        <v>1</v>
      </c>
      <c r="AT174">
        <f t="shared" si="116"/>
        <v>1</v>
      </c>
      <c r="AU174" s="387">
        <f>IF(AT174=0,"",IF(AND(AT174=1,M174="F",SUMIF(C2:C206,C174,AS2:AS206)&lt;=1),SUMIF(C2:C206,C174,AS2:AS206),IF(AND(AT174=1,M174="F",SUMIF(C2:C206,C174,AS2:AS206)&gt;1),1,"")))</f>
        <v>1</v>
      </c>
      <c r="AV174" s="387" t="str">
        <f>IF(AT174=0,"",IF(AND(AT174=3,M174="F",SUMIF(C2:C206,C174,AS2:AS206)&lt;=1),SUMIF(C2:C206,C174,AS2:AS206),IF(AND(AT174=3,M174="F",SUMIF(C2:C206,C174,AS2:AS206)&gt;1),1,"")))</f>
        <v/>
      </c>
      <c r="AW174" s="387">
        <f>SUMIF(C2:C206,C174,O2:O206)</f>
        <v>1</v>
      </c>
      <c r="AX174" s="387">
        <f>IF(AND(M174="F",AS174&lt;&gt;0),SUMIF(C2:C206,C174,W2:W206),0)</f>
        <v>49171.199999999997</v>
      </c>
      <c r="AY174" s="387">
        <f t="shared" si="117"/>
        <v>49171.199999999997</v>
      </c>
      <c r="AZ174" s="387" t="str">
        <f t="shared" si="118"/>
        <v/>
      </c>
      <c r="BA174" s="387">
        <f t="shared" si="119"/>
        <v>0</v>
      </c>
      <c r="BB174" s="387">
        <f t="shared" si="88"/>
        <v>11650</v>
      </c>
      <c r="BC174" s="387">
        <f t="shared" si="89"/>
        <v>0</v>
      </c>
      <c r="BD174" s="387">
        <f t="shared" si="90"/>
        <v>3048.6143999999999</v>
      </c>
      <c r="BE174" s="387">
        <f t="shared" si="91"/>
        <v>712.98239999999998</v>
      </c>
      <c r="BF174" s="387">
        <f t="shared" si="92"/>
        <v>5871.0412800000004</v>
      </c>
      <c r="BG174" s="387">
        <f t="shared" si="93"/>
        <v>354.52435199999996</v>
      </c>
      <c r="BH174" s="387">
        <f t="shared" si="94"/>
        <v>240.93887999999998</v>
      </c>
      <c r="BI174" s="387">
        <f t="shared" si="95"/>
        <v>150.46387199999998</v>
      </c>
      <c r="BJ174" s="387">
        <f t="shared" si="96"/>
        <v>683.47967999999992</v>
      </c>
      <c r="BK174" s="387">
        <f t="shared" si="97"/>
        <v>0</v>
      </c>
      <c r="BL174" s="387">
        <f t="shared" si="120"/>
        <v>11062.044864000001</v>
      </c>
      <c r="BM174" s="387">
        <f t="shared" si="121"/>
        <v>0</v>
      </c>
      <c r="BN174" s="387">
        <f t="shared" si="98"/>
        <v>11650</v>
      </c>
      <c r="BO174" s="387">
        <f t="shared" si="99"/>
        <v>0</v>
      </c>
      <c r="BP174" s="387">
        <f t="shared" si="100"/>
        <v>3048.6143999999999</v>
      </c>
      <c r="BQ174" s="387">
        <f t="shared" si="101"/>
        <v>712.98239999999998</v>
      </c>
      <c r="BR174" s="387">
        <f t="shared" si="102"/>
        <v>5871.0412800000004</v>
      </c>
      <c r="BS174" s="387">
        <f t="shared" si="103"/>
        <v>354.52435199999996</v>
      </c>
      <c r="BT174" s="387">
        <f t="shared" si="104"/>
        <v>0</v>
      </c>
      <c r="BU174" s="387">
        <f t="shared" si="105"/>
        <v>150.46387199999998</v>
      </c>
      <c r="BV174" s="387">
        <f t="shared" si="106"/>
        <v>683.47967999999992</v>
      </c>
      <c r="BW174" s="387">
        <f t="shared" si="107"/>
        <v>0</v>
      </c>
      <c r="BX174" s="387">
        <f t="shared" si="122"/>
        <v>10821.105984000002</v>
      </c>
      <c r="BY174" s="387">
        <f t="shared" si="123"/>
        <v>0</v>
      </c>
      <c r="BZ174" s="387">
        <f t="shared" si="124"/>
        <v>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0</v>
      </c>
      <c r="CE174" s="387">
        <f t="shared" si="110"/>
        <v>0</v>
      </c>
      <c r="CF174" s="387">
        <f t="shared" si="111"/>
        <v>-240.93887999999998</v>
      </c>
      <c r="CG174" s="387">
        <f t="shared" si="112"/>
        <v>0</v>
      </c>
      <c r="CH174" s="387">
        <f t="shared" si="113"/>
        <v>0</v>
      </c>
      <c r="CI174" s="387">
        <f t="shared" si="114"/>
        <v>0</v>
      </c>
      <c r="CJ174" s="387">
        <f t="shared" si="127"/>
        <v>-240.93887999999998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0461-52</v>
      </c>
    </row>
    <row r="175" spans="1:92" ht="15.75" thickBot="1" x14ac:dyDescent="0.3">
      <c r="A175" s="376" t="s">
        <v>161</v>
      </c>
      <c r="B175" s="376" t="s">
        <v>162</v>
      </c>
      <c r="C175" s="376" t="s">
        <v>780</v>
      </c>
      <c r="D175" s="376" t="s">
        <v>781</v>
      </c>
      <c r="E175" s="376" t="s">
        <v>755</v>
      </c>
      <c r="F175" s="382" t="s">
        <v>756</v>
      </c>
      <c r="G175" s="376" t="s">
        <v>757</v>
      </c>
      <c r="H175" s="378"/>
      <c r="I175" s="378"/>
      <c r="J175" s="376" t="s">
        <v>186</v>
      </c>
      <c r="K175" s="376" t="s">
        <v>782</v>
      </c>
      <c r="L175" s="376" t="s">
        <v>224</v>
      </c>
      <c r="M175" s="376" t="s">
        <v>171</v>
      </c>
      <c r="N175" s="376" t="s">
        <v>172</v>
      </c>
      <c r="O175" s="379">
        <v>1</v>
      </c>
      <c r="P175" s="385">
        <v>1</v>
      </c>
      <c r="Q175" s="385">
        <v>1</v>
      </c>
      <c r="R175" s="380">
        <v>80</v>
      </c>
      <c r="S175" s="385">
        <v>1</v>
      </c>
      <c r="T175" s="380">
        <v>86320.81</v>
      </c>
      <c r="U175" s="380">
        <v>0</v>
      </c>
      <c r="V175" s="380">
        <v>29071.53</v>
      </c>
      <c r="W175" s="380">
        <v>89356.800000000003</v>
      </c>
      <c r="X175" s="380">
        <v>31752.57</v>
      </c>
      <c r="Y175" s="380">
        <v>89356.800000000003</v>
      </c>
      <c r="Z175" s="380">
        <v>31314.73</v>
      </c>
      <c r="AA175" s="376" t="s">
        <v>783</v>
      </c>
      <c r="AB175" s="376" t="s">
        <v>784</v>
      </c>
      <c r="AC175" s="376" t="s">
        <v>785</v>
      </c>
      <c r="AD175" s="376" t="s">
        <v>786</v>
      </c>
      <c r="AE175" s="376" t="s">
        <v>782</v>
      </c>
      <c r="AF175" s="376" t="s">
        <v>229</v>
      </c>
      <c r="AG175" s="376" t="s">
        <v>178</v>
      </c>
      <c r="AH175" s="381">
        <v>42.96</v>
      </c>
      <c r="AI175" s="379">
        <v>30019</v>
      </c>
      <c r="AJ175" s="376" t="s">
        <v>179</v>
      </c>
      <c r="AK175" s="376" t="s">
        <v>180</v>
      </c>
      <c r="AL175" s="376" t="s">
        <v>181</v>
      </c>
      <c r="AM175" s="376" t="s">
        <v>182</v>
      </c>
      <c r="AN175" s="376" t="s">
        <v>68</v>
      </c>
      <c r="AO175" s="379">
        <v>80</v>
      </c>
      <c r="AP175" s="385">
        <v>1</v>
      </c>
      <c r="AQ175" s="385">
        <v>1</v>
      </c>
      <c r="AR175" s="383" t="s">
        <v>183</v>
      </c>
      <c r="AS175" s="387">
        <f t="shared" si="115"/>
        <v>1</v>
      </c>
      <c r="AT175">
        <f t="shared" si="116"/>
        <v>1</v>
      </c>
      <c r="AU175" s="387">
        <f>IF(AT175=0,"",IF(AND(AT175=1,M175="F",SUMIF(C2:C206,C175,AS2:AS206)&lt;=1),SUMIF(C2:C206,C175,AS2:AS206),IF(AND(AT175=1,M175="F",SUMIF(C2:C206,C175,AS2:AS206)&gt;1),1,"")))</f>
        <v>1</v>
      </c>
      <c r="AV175" s="387" t="str">
        <f>IF(AT175=0,"",IF(AND(AT175=3,M175="F",SUMIF(C2:C206,C175,AS2:AS206)&lt;=1),SUMIF(C2:C206,C175,AS2:AS206),IF(AND(AT175=3,M175="F",SUMIF(C2:C206,C175,AS2:AS206)&gt;1),1,"")))</f>
        <v/>
      </c>
      <c r="AW175" s="387">
        <f>SUMIF(C2:C206,C175,O2:O206)</f>
        <v>1</v>
      </c>
      <c r="AX175" s="387">
        <f>IF(AND(M175="F",AS175&lt;&gt;0),SUMIF(C2:C206,C175,W2:W206),0)</f>
        <v>89356.800000000003</v>
      </c>
      <c r="AY175" s="387">
        <f t="shared" si="117"/>
        <v>89356.800000000003</v>
      </c>
      <c r="AZ175" s="387" t="str">
        <f t="shared" si="118"/>
        <v/>
      </c>
      <c r="BA175" s="387">
        <f t="shared" si="119"/>
        <v>0</v>
      </c>
      <c r="BB175" s="387">
        <f t="shared" si="88"/>
        <v>11650</v>
      </c>
      <c r="BC175" s="387">
        <f t="shared" si="89"/>
        <v>0</v>
      </c>
      <c r="BD175" s="387">
        <f t="shared" si="90"/>
        <v>5540.1216000000004</v>
      </c>
      <c r="BE175" s="387">
        <f t="shared" si="91"/>
        <v>1295.6736000000001</v>
      </c>
      <c r="BF175" s="387">
        <f t="shared" si="92"/>
        <v>10669.201920000001</v>
      </c>
      <c r="BG175" s="387">
        <f t="shared" si="93"/>
        <v>644.26252800000009</v>
      </c>
      <c r="BH175" s="387">
        <f t="shared" si="94"/>
        <v>437.84832</v>
      </c>
      <c r="BI175" s="387">
        <f t="shared" si="95"/>
        <v>273.43180799999999</v>
      </c>
      <c r="BJ175" s="387">
        <f t="shared" si="96"/>
        <v>1242.05952</v>
      </c>
      <c r="BK175" s="387">
        <f t="shared" si="97"/>
        <v>0</v>
      </c>
      <c r="BL175" s="387">
        <f t="shared" si="120"/>
        <v>20102.599296</v>
      </c>
      <c r="BM175" s="387">
        <f t="shared" si="121"/>
        <v>0</v>
      </c>
      <c r="BN175" s="387">
        <f t="shared" si="98"/>
        <v>11650</v>
      </c>
      <c r="BO175" s="387">
        <f t="shared" si="99"/>
        <v>0</v>
      </c>
      <c r="BP175" s="387">
        <f t="shared" si="100"/>
        <v>5540.1216000000004</v>
      </c>
      <c r="BQ175" s="387">
        <f t="shared" si="101"/>
        <v>1295.6736000000001</v>
      </c>
      <c r="BR175" s="387">
        <f t="shared" si="102"/>
        <v>10669.201920000001</v>
      </c>
      <c r="BS175" s="387">
        <f t="shared" si="103"/>
        <v>644.26252800000009</v>
      </c>
      <c r="BT175" s="387">
        <f t="shared" si="104"/>
        <v>0</v>
      </c>
      <c r="BU175" s="387">
        <f t="shared" si="105"/>
        <v>273.43180799999999</v>
      </c>
      <c r="BV175" s="387">
        <f t="shared" si="106"/>
        <v>1242.05952</v>
      </c>
      <c r="BW175" s="387">
        <f t="shared" si="107"/>
        <v>0</v>
      </c>
      <c r="BX175" s="387">
        <f t="shared" si="122"/>
        <v>19664.750975999999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-437.84832</v>
      </c>
      <c r="CG175" s="387">
        <f t="shared" si="112"/>
        <v>0</v>
      </c>
      <c r="CH175" s="387">
        <f t="shared" si="113"/>
        <v>0</v>
      </c>
      <c r="CI175" s="387">
        <f t="shared" si="114"/>
        <v>0</v>
      </c>
      <c r="CJ175" s="387">
        <f t="shared" si="127"/>
        <v>-437.84832</v>
      </c>
      <c r="CK175" s="387" t="str">
        <f t="shared" si="128"/>
        <v/>
      </c>
      <c r="CL175" s="387" t="str">
        <f t="shared" si="129"/>
        <v/>
      </c>
      <c r="CM175" s="387" t="str">
        <f t="shared" si="130"/>
        <v/>
      </c>
      <c r="CN175" s="387" t="str">
        <f t="shared" si="131"/>
        <v>0461-52</v>
      </c>
    </row>
    <row r="176" spans="1:92" ht="15.75" thickBot="1" x14ac:dyDescent="0.3">
      <c r="A176" s="376" t="s">
        <v>161</v>
      </c>
      <c r="B176" s="376" t="s">
        <v>162</v>
      </c>
      <c r="C176" s="376" t="s">
        <v>787</v>
      </c>
      <c r="D176" s="376" t="s">
        <v>205</v>
      </c>
      <c r="E176" s="376" t="s">
        <v>755</v>
      </c>
      <c r="F176" s="382" t="s">
        <v>756</v>
      </c>
      <c r="G176" s="376" t="s">
        <v>757</v>
      </c>
      <c r="H176" s="378"/>
      <c r="I176" s="378"/>
      <c r="J176" s="376" t="s">
        <v>186</v>
      </c>
      <c r="K176" s="376" t="s">
        <v>206</v>
      </c>
      <c r="L176" s="376" t="s">
        <v>166</v>
      </c>
      <c r="M176" s="376" t="s">
        <v>207</v>
      </c>
      <c r="N176" s="376" t="s">
        <v>208</v>
      </c>
      <c r="O176" s="379">
        <v>0</v>
      </c>
      <c r="P176" s="385">
        <v>1</v>
      </c>
      <c r="Q176" s="385">
        <v>0</v>
      </c>
      <c r="R176" s="380">
        <v>0</v>
      </c>
      <c r="S176" s="385">
        <v>0</v>
      </c>
      <c r="T176" s="380">
        <v>0</v>
      </c>
      <c r="U176" s="380">
        <v>0</v>
      </c>
      <c r="V176" s="380">
        <v>0</v>
      </c>
      <c r="W176" s="380">
        <v>0</v>
      </c>
      <c r="X176" s="380">
        <v>0</v>
      </c>
      <c r="Y176" s="380">
        <v>0</v>
      </c>
      <c r="Z176" s="380">
        <v>0</v>
      </c>
      <c r="AA176" s="378"/>
      <c r="AB176" s="376" t="s">
        <v>45</v>
      </c>
      <c r="AC176" s="376" t="s">
        <v>45</v>
      </c>
      <c r="AD176" s="378"/>
      <c r="AE176" s="378"/>
      <c r="AF176" s="378"/>
      <c r="AG176" s="378"/>
      <c r="AH176" s="379">
        <v>0</v>
      </c>
      <c r="AI176" s="379">
        <v>0</v>
      </c>
      <c r="AJ176" s="378"/>
      <c r="AK176" s="378"/>
      <c r="AL176" s="376" t="s">
        <v>181</v>
      </c>
      <c r="AM176" s="378"/>
      <c r="AN176" s="378"/>
      <c r="AO176" s="379">
        <v>0</v>
      </c>
      <c r="AP176" s="385">
        <v>0</v>
      </c>
      <c r="AQ176" s="385">
        <v>0</v>
      </c>
      <c r="AR176" s="384"/>
      <c r="AS176" s="387">
        <f t="shared" si="115"/>
        <v>0</v>
      </c>
      <c r="AT176">
        <f t="shared" si="116"/>
        <v>0</v>
      </c>
      <c r="AU176" s="387" t="str">
        <f>IF(AT176=0,"",IF(AND(AT176=1,M176="F",SUMIF(C2:C206,C176,AS2:AS206)&lt;=1),SUMIF(C2:C206,C176,AS2:AS206),IF(AND(AT176=1,M176="F",SUMIF(C2:C206,C176,AS2:AS206)&gt;1),1,"")))</f>
        <v/>
      </c>
      <c r="AV176" s="387" t="str">
        <f>IF(AT176=0,"",IF(AND(AT176=3,M176="F",SUMIF(C2:C206,C176,AS2:AS206)&lt;=1),SUMIF(C2:C206,C176,AS2:AS206),IF(AND(AT176=3,M176="F",SUMIF(C2:C206,C176,AS2:AS206)&gt;1),1,"")))</f>
        <v/>
      </c>
      <c r="AW176" s="387">
        <f>SUMIF(C2:C206,C176,O2:O206)</f>
        <v>0</v>
      </c>
      <c r="AX176" s="387">
        <f>IF(AND(M176="F",AS176&lt;&gt;0),SUMIF(C2:C206,C176,W2:W206),0)</f>
        <v>0</v>
      </c>
      <c r="AY176" s="387" t="str">
        <f t="shared" si="117"/>
        <v/>
      </c>
      <c r="AZ176" s="387" t="str">
        <f t="shared" si="118"/>
        <v/>
      </c>
      <c r="BA176" s="387">
        <f t="shared" si="119"/>
        <v>0</v>
      </c>
      <c r="BB176" s="387">
        <f t="shared" si="88"/>
        <v>0</v>
      </c>
      <c r="BC176" s="387">
        <f t="shared" si="89"/>
        <v>0</v>
      </c>
      <c r="BD176" s="387">
        <f t="shared" si="90"/>
        <v>0</v>
      </c>
      <c r="BE176" s="387">
        <f t="shared" si="91"/>
        <v>0</v>
      </c>
      <c r="BF176" s="387">
        <f t="shared" si="92"/>
        <v>0</v>
      </c>
      <c r="BG176" s="387">
        <f t="shared" si="93"/>
        <v>0</v>
      </c>
      <c r="BH176" s="387">
        <f t="shared" si="94"/>
        <v>0</v>
      </c>
      <c r="BI176" s="387">
        <f t="shared" si="95"/>
        <v>0</v>
      </c>
      <c r="BJ176" s="387">
        <f t="shared" si="96"/>
        <v>0</v>
      </c>
      <c r="BK176" s="387">
        <f t="shared" si="97"/>
        <v>0</v>
      </c>
      <c r="BL176" s="387">
        <f t="shared" si="120"/>
        <v>0</v>
      </c>
      <c r="BM176" s="387">
        <f t="shared" si="121"/>
        <v>0</v>
      </c>
      <c r="BN176" s="387">
        <f t="shared" si="98"/>
        <v>0</v>
      </c>
      <c r="BO176" s="387">
        <f t="shared" si="99"/>
        <v>0</v>
      </c>
      <c r="BP176" s="387">
        <f t="shared" si="100"/>
        <v>0</v>
      </c>
      <c r="BQ176" s="387">
        <f t="shared" si="101"/>
        <v>0</v>
      </c>
      <c r="BR176" s="387">
        <f t="shared" si="102"/>
        <v>0</v>
      </c>
      <c r="BS176" s="387">
        <f t="shared" si="103"/>
        <v>0</v>
      </c>
      <c r="BT176" s="387">
        <f t="shared" si="104"/>
        <v>0</v>
      </c>
      <c r="BU176" s="387">
        <f t="shared" si="105"/>
        <v>0</v>
      </c>
      <c r="BV176" s="387">
        <f t="shared" si="106"/>
        <v>0</v>
      </c>
      <c r="BW176" s="387">
        <f t="shared" si="107"/>
        <v>0</v>
      </c>
      <c r="BX176" s="387">
        <f t="shared" si="122"/>
        <v>0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0</v>
      </c>
      <c r="CG176" s="387">
        <f t="shared" si="112"/>
        <v>0</v>
      </c>
      <c r="CH176" s="387">
        <f t="shared" si="113"/>
        <v>0</v>
      </c>
      <c r="CI176" s="387">
        <f t="shared" si="114"/>
        <v>0</v>
      </c>
      <c r="CJ176" s="387">
        <f t="shared" si="127"/>
        <v>0</v>
      </c>
      <c r="CK176" s="387" t="str">
        <f t="shared" si="128"/>
        <v/>
      </c>
      <c r="CL176" s="387">
        <f t="shared" si="129"/>
        <v>0</v>
      </c>
      <c r="CM176" s="387">
        <f t="shared" si="130"/>
        <v>0</v>
      </c>
      <c r="CN176" s="387" t="str">
        <f t="shared" si="131"/>
        <v>0461-52</v>
      </c>
    </row>
    <row r="177" spans="1:92" ht="15.75" thickBot="1" x14ac:dyDescent="0.3">
      <c r="A177" s="376" t="s">
        <v>161</v>
      </c>
      <c r="B177" s="376" t="s">
        <v>162</v>
      </c>
      <c r="C177" s="376" t="s">
        <v>204</v>
      </c>
      <c r="D177" s="376" t="s">
        <v>205</v>
      </c>
      <c r="E177" s="376" t="s">
        <v>788</v>
      </c>
      <c r="F177" s="382" t="s">
        <v>789</v>
      </c>
      <c r="G177" s="376" t="s">
        <v>757</v>
      </c>
      <c r="H177" s="378"/>
      <c r="I177" s="378"/>
      <c r="J177" s="376" t="s">
        <v>196</v>
      </c>
      <c r="K177" s="376" t="s">
        <v>206</v>
      </c>
      <c r="L177" s="376" t="s">
        <v>166</v>
      </c>
      <c r="M177" s="376" t="s">
        <v>207</v>
      </c>
      <c r="N177" s="376" t="s">
        <v>208</v>
      </c>
      <c r="O177" s="379">
        <v>0</v>
      </c>
      <c r="P177" s="385">
        <v>0.1</v>
      </c>
      <c r="Q177" s="385">
        <v>0</v>
      </c>
      <c r="R177" s="380">
        <v>0</v>
      </c>
      <c r="S177" s="385">
        <v>0</v>
      </c>
      <c r="T177" s="380">
        <v>0</v>
      </c>
      <c r="U177" s="380">
        <v>0</v>
      </c>
      <c r="V177" s="380">
        <v>0</v>
      </c>
      <c r="W177" s="380">
        <v>0</v>
      </c>
      <c r="X177" s="380">
        <v>0</v>
      </c>
      <c r="Y177" s="380">
        <v>0</v>
      </c>
      <c r="Z177" s="380">
        <v>0</v>
      </c>
      <c r="AA177" s="378"/>
      <c r="AB177" s="376" t="s">
        <v>45</v>
      </c>
      <c r="AC177" s="376" t="s">
        <v>45</v>
      </c>
      <c r="AD177" s="378"/>
      <c r="AE177" s="378"/>
      <c r="AF177" s="378"/>
      <c r="AG177" s="378"/>
      <c r="AH177" s="379">
        <v>0</v>
      </c>
      <c r="AI177" s="379">
        <v>0</v>
      </c>
      <c r="AJ177" s="378"/>
      <c r="AK177" s="378"/>
      <c r="AL177" s="376" t="s">
        <v>181</v>
      </c>
      <c r="AM177" s="378"/>
      <c r="AN177" s="378"/>
      <c r="AO177" s="379">
        <v>0</v>
      </c>
      <c r="AP177" s="385">
        <v>0</v>
      </c>
      <c r="AQ177" s="385">
        <v>0</v>
      </c>
      <c r="AR177" s="384"/>
      <c r="AS177" s="387">
        <f t="shared" si="115"/>
        <v>0</v>
      </c>
      <c r="AT177">
        <f t="shared" si="116"/>
        <v>0</v>
      </c>
      <c r="AU177" s="387" t="str">
        <f>IF(AT177=0,"",IF(AND(AT177=1,M177="F",SUMIF(C2:C206,C177,AS2:AS206)&lt;=1),SUMIF(C2:C206,C177,AS2:AS206),IF(AND(AT177=1,M177="F",SUMIF(C2:C206,C177,AS2:AS206)&gt;1),1,"")))</f>
        <v/>
      </c>
      <c r="AV177" s="387" t="str">
        <f>IF(AT177=0,"",IF(AND(AT177=3,M177="F",SUMIF(C2:C206,C177,AS2:AS206)&lt;=1),SUMIF(C2:C206,C177,AS2:AS206),IF(AND(AT177=3,M177="F",SUMIF(C2:C206,C177,AS2:AS206)&gt;1),1,"")))</f>
        <v/>
      </c>
      <c r="AW177" s="387">
        <f>SUMIF(C2:C206,C177,O2:O206)</f>
        <v>0</v>
      </c>
      <c r="AX177" s="387">
        <f>IF(AND(M177="F",AS177&lt;&gt;0),SUMIF(C2:C206,C177,W2:W206),0)</f>
        <v>0</v>
      </c>
      <c r="AY177" s="387" t="str">
        <f t="shared" si="117"/>
        <v/>
      </c>
      <c r="AZ177" s="387" t="str">
        <f t="shared" si="118"/>
        <v/>
      </c>
      <c r="BA177" s="387">
        <f t="shared" si="119"/>
        <v>0</v>
      </c>
      <c r="BB177" s="387">
        <f t="shared" si="88"/>
        <v>0</v>
      </c>
      <c r="BC177" s="387">
        <f t="shared" si="89"/>
        <v>0</v>
      </c>
      <c r="BD177" s="387">
        <f t="shared" si="90"/>
        <v>0</v>
      </c>
      <c r="BE177" s="387">
        <f t="shared" si="91"/>
        <v>0</v>
      </c>
      <c r="BF177" s="387">
        <f t="shared" si="92"/>
        <v>0</v>
      </c>
      <c r="BG177" s="387">
        <f t="shared" si="93"/>
        <v>0</v>
      </c>
      <c r="BH177" s="387">
        <f t="shared" si="94"/>
        <v>0</v>
      </c>
      <c r="BI177" s="387">
        <f t="shared" si="95"/>
        <v>0</v>
      </c>
      <c r="BJ177" s="387">
        <f t="shared" si="96"/>
        <v>0</v>
      </c>
      <c r="BK177" s="387">
        <f t="shared" si="97"/>
        <v>0</v>
      </c>
      <c r="BL177" s="387">
        <f t="shared" si="120"/>
        <v>0</v>
      </c>
      <c r="BM177" s="387">
        <f t="shared" si="121"/>
        <v>0</v>
      </c>
      <c r="BN177" s="387">
        <f t="shared" si="98"/>
        <v>0</v>
      </c>
      <c r="BO177" s="387">
        <f t="shared" si="99"/>
        <v>0</v>
      </c>
      <c r="BP177" s="387">
        <f t="shared" si="100"/>
        <v>0</v>
      </c>
      <c r="BQ177" s="387">
        <f t="shared" si="101"/>
        <v>0</v>
      </c>
      <c r="BR177" s="387">
        <f t="shared" si="102"/>
        <v>0</v>
      </c>
      <c r="BS177" s="387">
        <f t="shared" si="103"/>
        <v>0</v>
      </c>
      <c r="BT177" s="387">
        <f t="shared" si="104"/>
        <v>0</v>
      </c>
      <c r="BU177" s="387">
        <f t="shared" si="105"/>
        <v>0</v>
      </c>
      <c r="BV177" s="387">
        <f t="shared" si="106"/>
        <v>0</v>
      </c>
      <c r="BW177" s="387">
        <f t="shared" si="107"/>
        <v>0</v>
      </c>
      <c r="BX177" s="387">
        <f t="shared" si="122"/>
        <v>0</v>
      </c>
      <c r="BY177" s="387">
        <f t="shared" si="123"/>
        <v>0</v>
      </c>
      <c r="BZ177" s="387">
        <f t="shared" si="124"/>
        <v>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0</v>
      </c>
      <c r="CE177" s="387">
        <f t="shared" si="110"/>
        <v>0</v>
      </c>
      <c r="CF177" s="387">
        <f t="shared" si="111"/>
        <v>0</v>
      </c>
      <c r="CG177" s="387">
        <f t="shared" si="112"/>
        <v>0</v>
      </c>
      <c r="CH177" s="387">
        <f t="shared" si="113"/>
        <v>0</v>
      </c>
      <c r="CI177" s="387">
        <f t="shared" si="114"/>
        <v>0</v>
      </c>
      <c r="CJ177" s="387">
        <f t="shared" si="127"/>
        <v>0</v>
      </c>
      <c r="CK177" s="387" t="str">
        <f t="shared" si="128"/>
        <v/>
      </c>
      <c r="CL177" s="387">
        <f t="shared" si="129"/>
        <v>0</v>
      </c>
      <c r="CM177" s="387">
        <f t="shared" si="130"/>
        <v>0</v>
      </c>
      <c r="CN177" s="387" t="str">
        <f t="shared" si="131"/>
        <v>0462-99</v>
      </c>
    </row>
    <row r="178" spans="1:92" ht="15.75" thickBot="1" x14ac:dyDescent="0.3">
      <c r="A178" s="376" t="s">
        <v>161</v>
      </c>
      <c r="B178" s="376" t="s">
        <v>162</v>
      </c>
      <c r="C178" s="376" t="s">
        <v>790</v>
      </c>
      <c r="D178" s="376" t="s">
        <v>791</v>
      </c>
      <c r="E178" s="376" t="s">
        <v>788</v>
      </c>
      <c r="F178" s="382" t="s">
        <v>789</v>
      </c>
      <c r="G178" s="376" t="s">
        <v>757</v>
      </c>
      <c r="H178" s="378"/>
      <c r="I178" s="378"/>
      <c r="J178" s="376" t="s">
        <v>186</v>
      </c>
      <c r="K178" s="376" t="s">
        <v>792</v>
      </c>
      <c r="L178" s="376" t="s">
        <v>188</v>
      </c>
      <c r="M178" s="376" t="s">
        <v>171</v>
      </c>
      <c r="N178" s="376" t="s">
        <v>172</v>
      </c>
      <c r="O178" s="379">
        <v>1</v>
      </c>
      <c r="P178" s="385">
        <v>1</v>
      </c>
      <c r="Q178" s="385">
        <v>1</v>
      </c>
      <c r="R178" s="380">
        <v>80</v>
      </c>
      <c r="S178" s="385">
        <v>1</v>
      </c>
      <c r="T178" s="380">
        <v>60698.35</v>
      </c>
      <c r="U178" s="380">
        <v>0</v>
      </c>
      <c r="V178" s="380">
        <v>24384.44</v>
      </c>
      <c r="W178" s="380">
        <v>57200</v>
      </c>
      <c r="X178" s="380">
        <v>24518.28</v>
      </c>
      <c r="Y178" s="380">
        <v>57200</v>
      </c>
      <c r="Z178" s="380">
        <v>24238</v>
      </c>
      <c r="AA178" s="376" t="s">
        <v>793</v>
      </c>
      <c r="AB178" s="376" t="s">
        <v>794</v>
      </c>
      <c r="AC178" s="376" t="s">
        <v>610</v>
      </c>
      <c r="AD178" s="376" t="s">
        <v>171</v>
      </c>
      <c r="AE178" s="376" t="s">
        <v>792</v>
      </c>
      <c r="AF178" s="376" t="s">
        <v>193</v>
      </c>
      <c r="AG178" s="376" t="s">
        <v>178</v>
      </c>
      <c r="AH178" s="381">
        <v>27.5</v>
      </c>
      <c r="AI178" s="379">
        <v>720</v>
      </c>
      <c r="AJ178" s="376" t="s">
        <v>179</v>
      </c>
      <c r="AK178" s="376" t="s">
        <v>180</v>
      </c>
      <c r="AL178" s="376" t="s">
        <v>181</v>
      </c>
      <c r="AM178" s="376" t="s">
        <v>182</v>
      </c>
      <c r="AN178" s="376" t="s">
        <v>68</v>
      </c>
      <c r="AO178" s="379">
        <v>80</v>
      </c>
      <c r="AP178" s="385">
        <v>1</v>
      </c>
      <c r="AQ178" s="385">
        <v>1</v>
      </c>
      <c r="AR178" s="383" t="s">
        <v>183</v>
      </c>
      <c r="AS178" s="387">
        <f t="shared" si="115"/>
        <v>1</v>
      </c>
      <c r="AT178">
        <f t="shared" si="116"/>
        <v>1</v>
      </c>
      <c r="AU178" s="387">
        <f>IF(AT178=0,"",IF(AND(AT178=1,M178="F",SUMIF(C2:C206,C178,AS2:AS206)&lt;=1),SUMIF(C2:C206,C178,AS2:AS206),IF(AND(AT178=1,M178="F",SUMIF(C2:C206,C178,AS2:AS206)&gt;1),1,"")))</f>
        <v>1</v>
      </c>
      <c r="AV178" s="387" t="str">
        <f>IF(AT178=0,"",IF(AND(AT178=3,M178="F",SUMIF(C2:C206,C178,AS2:AS206)&lt;=1),SUMIF(C2:C206,C178,AS2:AS206),IF(AND(AT178=3,M178="F",SUMIF(C2:C206,C178,AS2:AS206)&gt;1),1,"")))</f>
        <v/>
      </c>
      <c r="AW178" s="387">
        <f>SUMIF(C2:C206,C178,O2:O206)</f>
        <v>1</v>
      </c>
      <c r="AX178" s="387">
        <f>IF(AND(M178="F",AS178&lt;&gt;0),SUMIF(C2:C206,C178,W2:W206),0)</f>
        <v>57200</v>
      </c>
      <c r="AY178" s="387">
        <f t="shared" si="117"/>
        <v>57200</v>
      </c>
      <c r="AZ178" s="387" t="str">
        <f t="shared" si="118"/>
        <v/>
      </c>
      <c r="BA178" s="387">
        <f t="shared" si="119"/>
        <v>0</v>
      </c>
      <c r="BB178" s="387">
        <f t="shared" si="88"/>
        <v>11650</v>
      </c>
      <c r="BC178" s="387">
        <f t="shared" si="89"/>
        <v>0</v>
      </c>
      <c r="BD178" s="387">
        <f t="shared" si="90"/>
        <v>3546.4</v>
      </c>
      <c r="BE178" s="387">
        <f t="shared" si="91"/>
        <v>829.40000000000009</v>
      </c>
      <c r="BF178" s="387">
        <f t="shared" si="92"/>
        <v>6829.68</v>
      </c>
      <c r="BG178" s="387">
        <f t="shared" si="93"/>
        <v>412.41200000000003</v>
      </c>
      <c r="BH178" s="387">
        <f t="shared" si="94"/>
        <v>280.27999999999997</v>
      </c>
      <c r="BI178" s="387">
        <f t="shared" si="95"/>
        <v>175.03199999999998</v>
      </c>
      <c r="BJ178" s="387">
        <f t="shared" si="96"/>
        <v>795.07999999999993</v>
      </c>
      <c r="BK178" s="387">
        <f t="shared" si="97"/>
        <v>0</v>
      </c>
      <c r="BL178" s="387">
        <f t="shared" si="120"/>
        <v>12868.284</v>
      </c>
      <c r="BM178" s="387">
        <f t="shared" si="121"/>
        <v>0</v>
      </c>
      <c r="BN178" s="387">
        <f t="shared" si="98"/>
        <v>11650</v>
      </c>
      <c r="BO178" s="387">
        <f t="shared" si="99"/>
        <v>0</v>
      </c>
      <c r="BP178" s="387">
        <f t="shared" si="100"/>
        <v>3546.4</v>
      </c>
      <c r="BQ178" s="387">
        <f t="shared" si="101"/>
        <v>829.40000000000009</v>
      </c>
      <c r="BR178" s="387">
        <f t="shared" si="102"/>
        <v>6829.68</v>
      </c>
      <c r="BS178" s="387">
        <f t="shared" si="103"/>
        <v>412.41200000000003</v>
      </c>
      <c r="BT178" s="387">
        <f t="shared" si="104"/>
        <v>0</v>
      </c>
      <c r="BU178" s="387">
        <f t="shared" si="105"/>
        <v>175.03199999999998</v>
      </c>
      <c r="BV178" s="387">
        <f t="shared" si="106"/>
        <v>795.07999999999993</v>
      </c>
      <c r="BW178" s="387">
        <f t="shared" si="107"/>
        <v>0</v>
      </c>
      <c r="BX178" s="387">
        <f t="shared" si="122"/>
        <v>12588.003999999999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-280.27999999999997</v>
      </c>
      <c r="CG178" s="387">
        <f t="shared" si="112"/>
        <v>0</v>
      </c>
      <c r="CH178" s="387">
        <f t="shared" si="113"/>
        <v>0</v>
      </c>
      <c r="CI178" s="387">
        <f t="shared" si="114"/>
        <v>0</v>
      </c>
      <c r="CJ178" s="387">
        <f t="shared" si="127"/>
        <v>-280.27999999999997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0462-99</v>
      </c>
    </row>
    <row r="179" spans="1:92" ht="15.75" thickBot="1" x14ac:dyDescent="0.3">
      <c r="A179" s="376" t="s">
        <v>161</v>
      </c>
      <c r="B179" s="376" t="s">
        <v>162</v>
      </c>
      <c r="C179" s="376" t="s">
        <v>795</v>
      </c>
      <c r="D179" s="376" t="s">
        <v>205</v>
      </c>
      <c r="E179" s="376" t="s">
        <v>788</v>
      </c>
      <c r="F179" s="382" t="s">
        <v>789</v>
      </c>
      <c r="G179" s="376" t="s">
        <v>757</v>
      </c>
      <c r="H179" s="378"/>
      <c r="I179" s="378"/>
      <c r="J179" s="376" t="s">
        <v>186</v>
      </c>
      <c r="K179" s="376" t="s">
        <v>206</v>
      </c>
      <c r="L179" s="376" t="s">
        <v>166</v>
      </c>
      <c r="M179" s="376" t="s">
        <v>207</v>
      </c>
      <c r="N179" s="376" t="s">
        <v>208</v>
      </c>
      <c r="O179" s="379">
        <v>0</v>
      </c>
      <c r="P179" s="385">
        <v>1</v>
      </c>
      <c r="Q179" s="385">
        <v>0</v>
      </c>
      <c r="R179" s="380">
        <v>0</v>
      </c>
      <c r="S179" s="385">
        <v>0</v>
      </c>
      <c r="T179" s="380">
        <v>0</v>
      </c>
      <c r="U179" s="380">
        <v>0</v>
      </c>
      <c r="V179" s="380">
        <v>0</v>
      </c>
      <c r="W179" s="380">
        <v>0</v>
      </c>
      <c r="X179" s="380">
        <v>0</v>
      </c>
      <c r="Y179" s="380">
        <v>0</v>
      </c>
      <c r="Z179" s="380">
        <v>0</v>
      </c>
      <c r="AA179" s="378"/>
      <c r="AB179" s="376" t="s">
        <v>45</v>
      </c>
      <c r="AC179" s="376" t="s">
        <v>45</v>
      </c>
      <c r="AD179" s="378"/>
      <c r="AE179" s="378"/>
      <c r="AF179" s="378"/>
      <c r="AG179" s="378"/>
      <c r="AH179" s="379">
        <v>0</v>
      </c>
      <c r="AI179" s="379">
        <v>0</v>
      </c>
      <c r="AJ179" s="378"/>
      <c r="AK179" s="378"/>
      <c r="AL179" s="376" t="s">
        <v>181</v>
      </c>
      <c r="AM179" s="378"/>
      <c r="AN179" s="378"/>
      <c r="AO179" s="379">
        <v>0</v>
      </c>
      <c r="AP179" s="385">
        <v>0</v>
      </c>
      <c r="AQ179" s="385">
        <v>0</v>
      </c>
      <c r="AR179" s="384"/>
      <c r="AS179" s="387">
        <f t="shared" si="115"/>
        <v>0</v>
      </c>
      <c r="AT179">
        <f t="shared" si="116"/>
        <v>0</v>
      </c>
      <c r="AU179" s="387" t="str">
        <f>IF(AT179=0,"",IF(AND(AT179=1,M179="F",SUMIF(C2:C206,C179,AS2:AS206)&lt;=1),SUMIF(C2:C206,C179,AS2:AS206),IF(AND(AT179=1,M179="F",SUMIF(C2:C206,C179,AS2:AS206)&gt;1),1,"")))</f>
        <v/>
      </c>
      <c r="AV179" s="387" t="str">
        <f>IF(AT179=0,"",IF(AND(AT179=3,M179="F",SUMIF(C2:C206,C179,AS2:AS206)&lt;=1),SUMIF(C2:C206,C179,AS2:AS206),IF(AND(AT179=3,M179="F",SUMIF(C2:C206,C179,AS2:AS206)&gt;1),1,"")))</f>
        <v/>
      </c>
      <c r="AW179" s="387">
        <f>SUMIF(C2:C206,C179,O2:O206)</f>
        <v>0</v>
      </c>
      <c r="AX179" s="387">
        <f>IF(AND(M179="F",AS179&lt;&gt;0),SUMIF(C2:C206,C179,W2:W206),0)</f>
        <v>0</v>
      </c>
      <c r="AY179" s="387" t="str">
        <f t="shared" si="117"/>
        <v/>
      </c>
      <c r="AZ179" s="387" t="str">
        <f t="shared" si="118"/>
        <v/>
      </c>
      <c r="BA179" s="387">
        <f t="shared" si="119"/>
        <v>0</v>
      </c>
      <c r="BB179" s="387">
        <f t="shared" si="88"/>
        <v>0</v>
      </c>
      <c r="BC179" s="387">
        <f t="shared" si="89"/>
        <v>0</v>
      </c>
      <c r="BD179" s="387">
        <f t="shared" si="90"/>
        <v>0</v>
      </c>
      <c r="BE179" s="387">
        <f t="shared" si="91"/>
        <v>0</v>
      </c>
      <c r="BF179" s="387">
        <f t="shared" si="92"/>
        <v>0</v>
      </c>
      <c r="BG179" s="387">
        <f t="shared" si="93"/>
        <v>0</v>
      </c>
      <c r="BH179" s="387">
        <f t="shared" si="94"/>
        <v>0</v>
      </c>
      <c r="BI179" s="387">
        <f t="shared" si="95"/>
        <v>0</v>
      </c>
      <c r="BJ179" s="387">
        <f t="shared" si="96"/>
        <v>0</v>
      </c>
      <c r="BK179" s="387">
        <f t="shared" si="97"/>
        <v>0</v>
      </c>
      <c r="BL179" s="387">
        <f t="shared" si="120"/>
        <v>0</v>
      </c>
      <c r="BM179" s="387">
        <f t="shared" si="121"/>
        <v>0</v>
      </c>
      <c r="BN179" s="387">
        <f t="shared" si="98"/>
        <v>0</v>
      </c>
      <c r="BO179" s="387">
        <f t="shared" si="99"/>
        <v>0</v>
      </c>
      <c r="BP179" s="387">
        <f t="shared" si="100"/>
        <v>0</v>
      </c>
      <c r="BQ179" s="387">
        <f t="shared" si="101"/>
        <v>0</v>
      </c>
      <c r="BR179" s="387">
        <f t="shared" si="102"/>
        <v>0</v>
      </c>
      <c r="BS179" s="387">
        <f t="shared" si="103"/>
        <v>0</v>
      </c>
      <c r="BT179" s="387">
        <f t="shared" si="104"/>
        <v>0</v>
      </c>
      <c r="BU179" s="387">
        <f t="shared" si="105"/>
        <v>0</v>
      </c>
      <c r="BV179" s="387">
        <f t="shared" si="106"/>
        <v>0</v>
      </c>
      <c r="BW179" s="387">
        <f t="shared" si="107"/>
        <v>0</v>
      </c>
      <c r="BX179" s="387">
        <f t="shared" si="122"/>
        <v>0</v>
      </c>
      <c r="BY179" s="387">
        <f t="shared" si="123"/>
        <v>0</v>
      </c>
      <c r="BZ179" s="387">
        <f t="shared" si="124"/>
        <v>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0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0</v>
      </c>
      <c r="CI179" s="387">
        <f t="shared" si="114"/>
        <v>0</v>
      </c>
      <c r="CJ179" s="387">
        <f t="shared" si="127"/>
        <v>0</v>
      </c>
      <c r="CK179" s="387" t="str">
        <f t="shared" si="128"/>
        <v/>
      </c>
      <c r="CL179" s="387">
        <f t="shared" si="129"/>
        <v>0</v>
      </c>
      <c r="CM179" s="387">
        <f t="shared" si="130"/>
        <v>0</v>
      </c>
      <c r="CN179" s="387" t="str">
        <f t="shared" si="131"/>
        <v>0462-99</v>
      </c>
    </row>
    <row r="180" spans="1:92" ht="15.75" thickBot="1" x14ac:dyDescent="0.3">
      <c r="A180" s="376" t="s">
        <v>161</v>
      </c>
      <c r="B180" s="376" t="s">
        <v>162</v>
      </c>
      <c r="C180" s="376" t="s">
        <v>796</v>
      </c>
      <c r="D180" s="376" t="s">
        <v>797</v>
      </c>
      <c r="E180" s="376" t="s">
        <v>788</v>
      </c>
      <c r="F180" s="382" t="s">
        <v>789</v>
      </c>
      <c r="G180" s="376" t="s">
        <v>757</v>
      </c>
      <c r="H180" s="378"/>
      <c r="I180" s="378"/>
      <c r="J180" s="376" t="s">
        <v>186</v>
      </c>
      <c r="K180" s="376" t="s">
        <v>798</v>
      </c>
      <c r="L180" s="376" t="s">
        <v>181</v>
      </c>
      <c r="M180" s="376" t="s">
        <v>171</v>
      </c>
      <c r="N180" s="376" t="s">
        <v>172</v>
      </c>
      <c r="O180" s="379">
        <v>1</v>
      </c>
      <c r="P180" s="385">
        <v>1</v>
      </c>
      <c r="Q180" s="385">
        <v>1</v>
      </c>
      <c r="R180" s="380">
        <v>80</v>
      </c>
      <c r="S180" s="385">
        <v>1</v>
      </c>
      <c r="T180" s="380">
        <v>5320</v>
      </c>
      <c r="U180" s="380">
        <v>0</v>
      </c>
      <c r="V180" s="380">
        <v>2038.43</v>
      </c>
      <c r="W180" s="380">
        <v>69160</v>
      </c>
      <c r="X180" s="380">
        <v>27208.9</v>
      </c>
      <c r="Y180" s="380">
        <v>69160</v>
      </c>
      <c r="Z180" s="380">
        <v>26870.02</v>
      </c>
      <c r="AA180" s="376" t="s">
        <v>799</v>
      </c>
      <c r="AB180" s="376" t="s">
        <v>800</v>
      </c>
      <c r="AC180" s="376" t="s">
        <v>393</v>
      </c>
      <c r="AD180" s="376" t="s">
        <v>801</v>
      </c>
      <c r="AE180" s="376" t="s">
        <v>798</v>
      </c>
      <c r="AF180" s="376" t="s">
        <v>307</v>
      </c>
      <c r="AG180" s="376" t="s">
        <v>178</v>
      </c>
      <c r="AH180" s="381">
        <v>33.25</v>
      </c>
      <c r="AI180" s="379">
        <v>3272</v>
      </c>
      <c r="AJ180" s="376" t="s">
        <v>179</v>
      </c>
      <c r="AK180" s="376" t="s">
        <v>180</v>
      </c>
      <c r="AL180" s="376" t="s">
        <v>181</v>
      </c>
      <c r="AM180" s="376" t="s">
        <v>182</v>
      </c>
      <c r="AN180" s="376" t="s">
        <v>68</v>
      </c>
      <c r="AO180" s="379">
        <v>80</v>
      </c>
      <c r="AP180" s="385">
        <v>1</v>
      </c>
      <c r="AQ180" s="385">
        <v>1</v>
      </c>
      <c r="AR180" s="383" t="s">
        <v>183</v>
      </c>
      <c r="AS180" s="387">
        <f t="shared" si="115"/>
        <v>1</v>
      </c>
      <c r="AT180">
        <f t="shared" si="116"/>
        <v>1</v>
      </c>
      <c r="AU180" s="387">
        <f>IF(AT180=0,"",IF(AND(AT180=1,M180="F",SUMIF(C2:C206,C180,AS2:AS206)&lt;=1),SUMIF(C2:C206,C180,AS2:AS206),IF(AND(AT180=1,M180="F",SUMIF(C2:C206,C180,AS2:AS206)&gt;1),1,"")))</f>
        <v>1</v>
      </c>
      <c r="AV180" s="387" t="str">
        <f>IF(AT180=0,"",IF(AND(AT180=3,M180="F",SUMIF(C2:C206,C180,AS2:AS206)&lt;=1),SUMIF(C2:C206,C180,AS2:AS206),IF(AND(AT180=3,M180="F",SUMIF(C2:C206,C180,AS2:AS206)&gt;1),1,"")))</f>
        <v/>
      </c>
      <c r="AW180" s="387">
        <f>SUMIF(C2:C206,C180,O2:O206)</f>
        <v>1</v>
      </c>
      <c r="AX180" s="387">
        <f>IF(AND(M180="F",AS180&lt;&gt;0),SUMIF(C2:C206,C180,W2:W206),0)</f>
        <v>69160</v>
      </c>
      <c r="AY180" s="387">
        <f t="shared" si="117"/>
        <v>69160</v>
      </c>
      <c r="AZ180" s="387" t="str">
        <f t="shared" si="118"/>
        <v/>
      </c>
      <c r="BA180" s="387">
        <f t="shared" si="119"/>
        <v>0</v>
      </c>
      <c r="BB180" s="387">
        <f t="shared" si="88"/>
        <v>11650</v>
      </c>
      <c r="BC180" s="387">
        <f t="shared" si="89"/>
        <v>0</v>
      </c>
      <c r="BD180" s="387">
        <f t="shared" si="90"/>
        <v>4287.92</v>
      </c>
      <c r="BE180" s="387">
        <f t="shared" si="91"/>
        <v>1002.82</v>
      </c>
      <c r="BF180" s="387">
        <f t="shared" si="92"/>
        <v>8257.7039999999997</v>
      </c>
      <c r="BG180" s="387">
        <f t="shared" si="93"/>
        <v>498.64359999999999</v>
      </c>
      <c r="BH180" s="387">
        <f t="shared" si="94"/>
        <v>338.88400000000001</v>
      </c>
      <c r="BI180" s="387">
        <f t="shared" si="95"/>
        <v>211.62959999999998</v>
      </c>
      <c r="BJ180" s="387">
        <f t="shared" si="96"/>
        <v>961.32399999999996</v>
      </c>
      <c r="BK180" s="387">
        <f t="shared" si="97"/>
        <v>0</v>
      </c>
      <c r="BL180" s="387">
        <f t="shared" si="120"/>
        <v>15558.9252</v>
      </c>
      <c r="BM180" s="387">
        <f t="shared" si="121"/>
        <v>0</v>
      </c>
      <c r="BN180" s="387">
        <f t="shared" si="98"/>
        <v>11650</v>
      </c>
      <c r="BO180" s="387">
        <f t="shared" si="99"/>
        <v>0</v>
      </c>
      <c r="BP180" s="387">
        <f t="shared" si="100"/>
        <v>4287.92</v>
      </c>
      <c r="BQ180" s="387">
        <f t="shared" si="101"/>
        <v>1002.82</v>
      </c>
      <c r="BR180" s="387">
        <f t="shared" si="102"/>
        <v>8257.7039999999997</v>
      </c>
      <c r="BS180" s="387">
        <f t="shared" si="103"/>
        <v>498.64359999999999</v>
      </c>
      <c r="BT180" s="387">
        <f t="shared" si="104"/>
        <v>0</v>
      </c>
      <c r="BU180" s="387">
        <f t="shared" si="105"/>
        <v>211.62959999999998</v>
      </c>
      <c r="BV180" s="387">
        <f t="shared" si="106"/>
        <v>961.32399999999996</v>
      </c>
      <c r="BW180" s="387">
        <f t="shared" si="107"/>
        <v>0</v>
      </c>
      <c r="BX180" s="387">
        <f t="shared" si="122"/>
        <v>15220.0412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-338.88400000000001</v>
      </c>
      <c r="CG180" s="387">
        <f t="shared" si="112"/>
        <v>0</v>
      </c>
      <c r="CH180" s="387">
        <f t="shared" si="113"/>
        <v>0</v>
      </c>
      <c r="CI180" s="387">
        <f t="shared" si="114"/>
        <v>0</v>
      </c>
      <c r="CJ180" s="387">
        <f t="shared" si="127"/>
        <v>-338.88400000000001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0462-99</v>
      </c>
    </row>
    <row r="181" spans="1:92" ht="15.75" thickBot="1" x14ac:dyDescent="0.3">
      <c r="A181" s="376" t="s">
        <v>161</v>
      </c>
      <c r="B181" s="376" t="s">
        <v>162</v>
      </c>
      <c r="C181" s="376" t="s">
        <v>802</v>
      </c>
      <c r="D181" s="376" t="s">
        <v>205</v>
      </c>
      <c r="E181" s="376" t="s">
        <v>788</v>
      </c>
      <c r="F181" s="382" t="s">
        <v>789</v>
      </c>
      <c r="G181" s="376" t="s">
        <v>757</v>
      </c>
      <c r="H181" s="378"/>
      <c r="I181" s="378"/>
      <c r="J181" s="376" t="s">
        <v>186</v>
      </c>
      <c r="K181" s="376" t="s">
        <v>206</v>
      </c>
      <c r="L181" s="376" t="s">
        <v>166</v>
      </c>
      <c r="M181" s="376" t="s">
        <v>207</v>
      </c>
      <c r="N181" s="376" t="s">
        <v>208</v>
      </c>
      <c r="O181" s="379">
        <v>0</v>
      </c>
      <c r="P181" s="385">
        <v>1</v>
      </c>
      <c r="Q181" s="385">
        <v>0</v>
      </c>
      <c r="R181" s="380">
        <v>0</v>
      </c>
      <c r="S181" s="385">
        <v>0</v>
      </c>
      <c r="T181" s="380">
        <v>0</v>
      </c>
      <c r="U181" s="380">
        <v>0</v>
      </c>
      <c r="V181" s="380">
        <v>0</v>
      </c>
      <c r="W181" s="380">
        <v>0</v>
      </c>
      <c r="X181" s="380">
        <v>0</v>
      </c>
      <c r="Y181" s="380">
        <v>0</v>
      </c>
      <c r="Z181" s="380">
        <v>0</v>
      </c>
      <c r="AA181" s="378"/>
      <c r="AB181" s="376" t="s">
        <v>45</v>
      </c>
      <c r="AC181" s="376" t="s">
        <v>45</v>
      </c>
      <c r="AD181" s="378"/>
      <c r="AE181" s="378"/>
      <c r="AF181" s="378"/>
      <c r="AG181" s="378"/>
      <c r="AH181" s="379">
        <v>0</v>
      </c>
      <c r="AI181" s="379">
        <v>0</v>
      </c>
      <c r="AJ181" s="378"/>
      <c r="AK181" s="378"/>
      <c r="AL181" s="376" t="s">
        <v>181</v>
      </c>
      <c r="AM181" s="378"/>
      <c r="AN181" s="378"/>
      <c r="AO181" s="379">
        <v>0</v>
      </c>
      <c r="AP181" s="385">
        <v>0</v>
      </c>
      <c r="AQ181" s="385">
        <v>0</v>
      </c>
      <c r="AR181" s="384"/>
      <c r="AS181" s="387">
        <f t="shared" si="115"/>
        <v>0</v>
      </c>
      <c r="AT181">
        <f t="shared" si="116"/>
        <v>0</v>
      </c>
      <c r="AU181" s="387" t="str">
        <f>IF(AT181=0,"",IF(AND(AT181=1,M181="F",SUMIF(C2:C206,C181,AS2:AS206)&lt;=1),SUMIF(C2:C206,C181,AS2:AS206),IF(AND(AT181=1,M181="F",SUMIF(C2:C206,C181,AS2:AS206)&gt;1),1,"")))</f>
        <v/>
      </c>
      <c r="AV181" s="387" t="str">
        <f>IF(AT181=0,"",IF(AND(AT181=3,M181="F",SUMIF(C2:C206,C181,AS2:AS206)&lt;=1),SUMIF(C2:C206,C181,AS2:AS206),IF(AND(AT181=3,M181="F",SUMIF(C2:C206,C181,AS2:AS206)&gt;1),1,"")))</f>
        <v/>
      </c>
      <c r="AW181" s="387">
        <f>SUMIF(C2:C206,C181,O2:O206)</f>
        <v>0</v>
      </c>
      <c r="AX181" s="387">
        <f>IF(AND(M181="F",AS181&lt;&gt;0),SUMIF(C2:C206,C181,W2:W206),0)</f>
        <v>0</v>
      </c>
      <c r="AY181" s="387" t="str">
        <f t="shared" si="117"/>
        <v/>
      </c>
      <c r="AZ181" s="387" t="str">
        <f t="shared" si="118"/>
        <v/>
      </c>
      <c r="BA181" s="387">
        <f t="shared" si="119"/>
        <v>0</v>
      </c>
      <c r="BB181" s="387">
        <f t="shared" si="88"/>
        <v>0</v>
      </c>
      <c r="BC181" s="387">
        <f t="shared" si="89"/>
        <v>0</v>
      </c>
      <c r="BD181" s="387">
        <f t="shared" si="90"/>
        <v>0</v>
      </c>
      <c r="BE181" s="387">
        <f t="shared" si="91"/>
        <v>0</v>
      </c>
      <c r="BF181" s="387">
        <f t="shared" si="92"/>
        <v>0</v>
      </c>
      <c r="BG181" s="387">
        <f t="shared" si="93"/>
        <v>0</v>
      </c>
      <c r="BH181" s="387">
        <f t="shared" si="94"/>
        <v>0</v>
      </c>
      <c r="BI181" s="387">
        <f t="shared" si="95"/>
        <v>0</v>
      </c>
      <c r="BJ181" s="387">
        <f t="shared" si="96"/>
        <v>0</v>
      </c>
      <c r="BK181" s="387">
        <f t="shared" si="97"/>
        <v>0</v>
      </c>
      <c r="BL181" s="387">
        <f t="shared" si="120"/>
        <v>0</v>
      </c>
      <c r="BM181" s="387">
        <f t="shared" si="121"/>
        <v>0</v>
      </c>
      <c r="BN181" s="387">
        <f t="shared" si="98"/>
        <v>0</v>
      </c>
      <c r="BO181" s="387">
        <f t="shared" si="99"/>
        <v>0</v>
      </c>
      <c r="BP181" s="387">
        <f t="shared" si="100"/>
        <v>0</v>
      </c>
      <c r="BQ181" s="387">
        <f t="shared" si="101"/>
        <v>0</v>
      </c>
      <c r="BR181" s="387">
        <f t="shared" si="102"/>
        <v>0</v>
      </c>
      <c r="BS181" s="387">
        <f t="shared" si="103"/>
        <v>0</v>
      </c>
      <c r="BT181" s="387">
        <f t="shared" si="104"/>
        <v>0</v>
      </c>
      <c r="BU181" s="387">
        <f t="shared" si="105"/>
        <v>0</v>
      </c>
      <c r="BV181" s="387">
        <f t="shared" si="106"/>
        <v>0</v>
      </c>
      <c r="BW181" s="387">
        <f t="shared" si="107"/>
        <v>0</v>
      </c>
      <c r="BX181" s="387">
        <f t="shared" si="122"/>
        <v>0</v>
      </c>
      <c r="BY181" s="387">
        <f t="shared" si="123"/>
        <v>0</v>
      </c>
      <c r="BZ181" s="387">
        <f t="shared" si="124"/>
        <v>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0</v>
      </c>
      <c r="CE181" s="387">
        <f t="shared" si="110"/>
        <v>0</v>
      </c>
      <c r="CF181" s="387">
        <f t="shared" si="111"/>
        <v>0</v>
      </c>
      <c r="CG181" s="387">
        <f t="shared" si="112"/>
        <v>0</v>
      </c>
      <c r="CH181" s="387">
        <f t="shared" si="113"/>
        <v>0</v>
      </c>
      <c r="CI181" s="387">
        <f t="shared" si="114"/>
        <v>0</v>
      </c>
      <c r="CJ181" s="387">
        <f t="shared" si="127"/>
        <v>0</v>
      </c>
      <c r="CK181" s="387" t="str">
        <f t="shared" si="128"/>
        <v/>
      </c>
      <c r="CL181" s="387">
        <f t="shared" si="129"/>
        <v>0</v>
      </c>
      <c r="CM181" s="387">
        <f t="shared" si="130"/>
        <v>0</v>
      </c>
      <c r="CN181" s="387" t="str">
        <f t="shared" si="131"/>
        <v>0462-99</v>
      </c>
    </row>
    <row r="182" spans="1:92" ht="15.75" thickBot="1" x14ac:dyDescent="0.3">
      <c r="A182" s="376" t="s">
        <v>161</v>
      </c>
      <c r="B182" s="376" t="s">
        <v>162</v>
      </c>
      <c r="C182" s="376" t="s">
        <v>803</v>
      </c>
      <c r="D182" s="376" t="s">
        <v>663</v>
      </c>
      <c r="E182" s="376" t="s">
        <v>788</v>
      </c>
      <c r="F182" s="382" t="s">
        <v>789</v>
      </c>
      <c r="G182" s="376" t="s">
        <v>757</v>
      </c>
      <c r="H182" s="378"/>
      <c r="I182" s="378"/>
      <c r="J182" s="376" t="s">
        <v>186</v>
      </c>
      <c r="K182" s="376" t="s">
        <v>664</v>
      </c>
      <c r="L182" s="376" t="s">
        <v>283</v>
      </c>
      <c r="M182" s="376" t="s">
        <v>171</v>
      </c>
      <c r="N182" s="376" t="s">
        <v>172</v>
      </c>
      <c r="O182" s="379">
        <v>1</v>
      </c>
      <c r="P182" s="385">
        <v>1</v>
      </c>
      <c r="Q182" s="385">
        <v>1</v>
      </c>
      <c r="R182" s="380">
        <v>80</v>
      </c>
      <c r="S182" s="385">
        <v>1</v>
      </c>
      <c r="T182" s="380">
        <v>70080.02</v>
      </c>
      <c r="U182" s="380">
        <v>0</v>
      </c>
      <c r="V182" s="380">
        <v>25995.13</v>
      </c>
      <c r="W182" s="380">
        <v>70990.399999999994</v>
      </c>
      <c r="X182" s="380">
        <v>27620.69</v>
      </c>
      <c r="Y182" s="380">
        <v>70990.399999999994</v>
      </c>
      <c r="Z182" s="380">
        <v>27272.84</v>
      </c>
      <c r="AA182" s="376" t="s">
        <v>804</v>
      </c>
      <c r="AB182" s="376" t="s">
        <v>805</v>
      </c>
      <c r="AC182" s="376" t="s">
        <v>383</v>
      </c>
      <c r="AD182" s="376" t="s">
        <v>170</v>
      </c>
      <c r="AE182" s="376" t="s">
        <v>664</v>
      </c>
      <c r="AF182" s="376" t="s">
        <v>288</v>
      </c>
      <c r="AG182" s="376" t="s">
        <v>178</v>
      </c>
      <c r="AH182" s="381">
        <v>34.130000000000003</v>
      </c>
      <c r="AI182" s="381">
        <v>62392.9</v>
      </c>
      <c r="AJ182" s="376" t="s">
        <v>179</v>
      </c>
      <c r="AK182" s="376" t="s">
        <v>180</v>
      </c>
      <c r="AL182" s="376" t="s">
        <v>181</v>
      </c>
      <c r="AM182" s="376" t="s">
        <v>182</v>
      </c>
      <c r="AN182" s="376" t="s">
        <v>68</v>
      </c>
      <c r="AO182" s="379">
        <v>80</v>
      </c>
      <c r="AP182" s="385">
        <v>1</v>
      </c>
      <c r="AQ182" s="385">
        <v>1</v>
      </c>
      <c r="AR182" s="383" t="s">
        <v>183</v>
      </c>
      <c r="AS182" s="387">
        <f t="shared" si="115"/>
        <v>1</v>
      </c>
      <c r="AT182">
        <f t="shared" si="116"/>
        <v>1</v>
      </c>
      <c r="AU182" s="387">
        <f>IF(AT182=0,"",IF(AND(AT182=1,M182="F",SUMIF(C2:C206,C182,AS2:AS206)&lt;=1),SUMIF(C2:C206,C182,AS2:AS206),IF(AND(AT182=1,M182="F",SUMIF(C2:C206,C182,AS2:AS206)&gt;1),1,"")))</f>
        <v>1</v>
      </c>
      <c r="AV182" s="387" t="str">
        <f>IF(AT182=0,"",IF(AND(AT182=3,M182="F",SUMIF(C2:C206,C182,AS2:AS206)&lt;=1),SUMIF(C2:C206,C182,AS2:AS206),IF(AND(AT182=3,M182="F",SUMIF(C2:C206,C182,AS2:AS206)&gt;1),1,"")))</f>
        <v/>
      </c>
      <c r="AW182" s="387">
        <f>SUMIF(C2:C206,C182,O2:O206)</f>
        <v>1</v>
      </c>
      <c r="AX182" s="387">
        <f>IF(AND(M182="F",AS182&lt;&gt;0),SUMIF(C2:C206,C182,W2:W206),0)</f>
        <v>70990.399999999994</v>
      </c>
      <c r="AY182" s="387">
        <f t="shared" si="117"/>
        <v>70990.399999999994</v>
      </c>
      <c r="AZ182" s="387" t="str">
        <f t="shared" si="118"/>
        <v/>
      </c>
      <c r="BA182" s="387">
        <f t="shared" si="119"/>
        <v>0</v>
      </c>
      <c r="BB182" s="387">
        <f t="shared" si="88"/>
        <v>11650</v>
      </c>
      <c r="BC182" s="387">
        <f t="shared" si="89"/>
        <v>0</v>
      </c>
      <c r="BD182" s="387">
        <f t="shared" si="90"/>
        <v>4401.4047999999993</v>
      </c>
      <c r="BE182" s="387">
        <f t="shared" si="91"/>
        <v>1029.3607999999999</v>
      </c>
      <c r="BF182" s="387">
        <f t="shared" si="92"/>
        <v>8476.2537599999996</v>
      </c>
      <c r="BG182" s="387">
        <f t="shared" si="93"/>
        <v>511.84078399999999</v>
      </c>
      <c r="BH182" s="387">
        <f t="shared" si="94"/>
        <v>347.85295999999994</v>
      </c>
      <c r="BI182" s="387">
        <f t="shared" si="95"/>
        <v>217.23062399999998</v>
      </c>
      <c r="BJ182" s="387">
        <f t="shared" si="96"/>
        <v>986.76655999999991</v>
      </c>
      <c r="BK182" s="387">
        <f t="shared" si="97"/>
        <v>0</v>
      </c>
      <c r="BL182" s="387">
        <f t="shared" si="120"/>
        <v>15970.710287999998</v>
      </c>
      <c r="BM182" s="387">
        <f t="shared" si="121"/>
        <v>0</v>
      </c>
      <c r="BN182" s="387">
        <f t="shared" si="98"/>
        <v>11650</v>
      </c>
      <c r="BO182" s="387">
        <f t="shared" si="99"/>
        <v>0</v>
      </c>
      <c r="BP182" s="387">
        <f t="shared" si="100"/>
        <v>4401.4047999999993</v>
      </c>
      <c r="BQ182" s="387">
        <f t="shared" si="101"/>
        <v>1029.3607999999999</v>
      </c>
      <c r="BR182" s="387">
        <f t="shared" si="102"/>
        <v>8476.2537599999996</v>
      </c>
      <c r="BS182" s="387">
        <f t="shared" si="103"/>
        <v>511.84078399999999</v>
      </c>
      <c r="BT182" s="387">
        <f t="shared" si="104"/>
        <v>0</v>
      </c>
      <c r="BU182" s="387">
        <f t="shared" si="105"/>
        <v>217.23062399999998</v>
      </c>
      <c r="BV182" s="387">
        <f t="shared" si="106"/>
        <v>986.76655999999991</v>
      </c>
      <c r="BW182" s="387">
        <f t="shared" si="107"/>
        <v>0</v>
      </c>
      <c r="BX182" s="387">
        <f t="shared" si="122"/>
        <v>15622.857327999998</v>
      </c>
      <c r="BY182" s="387">
        <f t="shared" si="123"/>
        <v>0</v>
      </c>
      <c r="BZ182" s="387">
        <f t="shared" si="124"/>
        <v>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0</v>
      </c>
      <c r="CE182" s="387">
        <f t="shared" si="110"/>
        <v>0</v>
      </c>
      <c r="CF182" s="387">
        <f t="shared" si="111"/>
        <v>-347.85295999999994</v>
      </c>
      <c r="CG182" s="387">
        <f t="shared" si="112"/>
        <v>0</v>
      </c>
      <c r="CH182" s="387">
        <f t="shared" si="113"/>
        <v>0</v>
      </c>
      <c r="CI182" s="387">
        <f t="shared" si="114"/>
        <v>0</v>
      </c>
      <c r="CJ182" s="387">
        <f t="shared" si="127"/>
        <v>-347.85295999999994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0462-99</v>
      </c>
    </row>
    <row r="183" spans="1:92" ht="15.75" thickBot="1" x14ac:dyDescent="0.3">
      <c r="A183" s="376" t="s">
        <v>161</v>
      </c>
      <c r="B183" s="376" t="s">
        <v>162</v>
      </c>
      <c r="C183" s="376" t="s">
        <v>806</v>
      </c>
      <c r="D183" s="376" t="s">
        <v>205</v>
      </c>
      <c r="E183" s="376" t="s">
        <v>788</v>
      </c>
      <c r="F183" s="382" t="s">
        <v>789</v>
      </c>
      <c r="G183" s="376" t="s">
        <v>757</v>
      </c>
      <c r="H183" s="378"/>
      <c r="I183" s="378"/>
      <c r="J183" s="376" t="s">
        <v>186</v>
      </c>
      <c r="K183" s="376" t="s">
        <v>206</v>
      </c>
      <c r="L183" s="376" t="s">
        <v>166</v>
      </c>
      <c r="M183" s="376" t="s">
        <v>207</v>
      </c>
      <c r="N183" s="376" t="s">
        <v>208</v>
      </c>
      <c r="O183" s="379">
        <v>0</v>
      </c>
      <c r="P183" s="385">
        <v>1</v>
      </c>
      <c r="Q183" s="385">
        <v>0</v>
      </c>
      <c r="R183" s="380">
        <v>0</v>
      </c>
      <c r="S183" s="385">
        <v>0</v>
      </c>
      <c r="T183" s="380">
        <v>0</v>
      </c>
      <c r="U183" s="380">
        <v>0</v>
      </c>
      <c r="V183" s="380">
        <v>0</v>
      </c>
      <c r="W183" s="380">
        <v>0</v>
      </c>
      <c r="X183" s="380">
        <v>0</v>
      </c>
      <c r="Y183" s="380">
        <v>0</v>
      </c>
      <c r="Z183" s="380">
        <v>0</v>
      </c>
      <c r="AA183" s="378"/>
      <c r="AB183" s="376" t="s">
        <v>45</v>
      </c>
      <c r="AC183" s="376" t="s">
        <v>45</v>
      </c>
      <c r="AD183" s="378"/>
      <c r="AE183" s="378"/>
      <c r="AF183" s="378"/>
      <c r="AG183" s="378"/>
      <c r="AH183" s="379">
        <v>0</v>
      </c>
      <c r="AI183" s="379">
        <v>0</v>
      </c>
      <c r="AJ183" s="378"/>
      <c r="AK183" s="378"/>
      <c r="AL183" s="376" t="s">
        <v>181</v>
      </c>
      <c r="AM183" s="378"/>
      <c r="AN183" s="378"/>
      <c r="AO183" s="379">
        <v>0</v>
      </c>
      <c r="AP183" s="385">
        <v>0</v>
      </c>
      <c r="AQ183" s="385">
        <v>0</v>
      </c>
      <c r="AR183" s="384"/>
      <c r="AS183" s="387">
        <f t="shared" si="115"/>
        <v>0</v>
      </c>
      <c r="AT183">
        <f t="shared" si="116"/>
        <v>0</v>
      </c>
      <c r="AU183" s="387" t="str">
        <f>IF(AT183=0,"",IF(AND(AT183=1,M183="F",SUMIF(C2:C206,C183,AS2:AS206)&lt;=1),SUMIF(C2:C206,C183,AS2:AS206),IF(AND(AT183=1,M183="F",SUMIF(C2:C206,C183,AS2:AS206)&gt;1),1,"")))</f>
        <v/>
      </c>
      <c r="AV183" s="387" t="str">
        <f>IF(AT183=0,"",IF(AND(AT183=3,M183="F",SUMIF(C2:C206,C183,AS2:AS206)&lt;=1),SUMIF(C2:C206,C183,AS2:AS206),IF(AND(AT183=3,M183="F",SUMIF(C2:C206,C183,AS2:AS206)&gt;1),1,"")))</f>
        <v/>
      </c>
      <c r="AW183" s="387">
        <f>SUMIF(C2:C206,C183,O2:O206)</f>
        <v>0</v>
      </c>
      <c r="AX183" s="387">
        <f>IF(AND(M183="F",AS183&lt;&gt;0),SUMIF(C2:C206,C183,W2:W206),0)</f>
        <v>0</v>
      </c>
      <c r="AY183" s="387" t="str">
        <f t="shared" si="117"/>
        <v/>
      </c>
      <c r="AZ183" s="387" t="str">
        <f t="shared" si="118"/>
        <v/>
      </c>
      <c r="BA183" s="387">
        <f t="shared" si="119"/>
        <v>0</v>
      </c>
      <c r="BB183" s="387">
        <f t="shared" si="88"/>
        <v>0</v>
      </c>
      <c r="BC183" s="387">
        <f t="shared" si="89"/>
        <v>0</v>
      </c>
      <c r="BD183" s="387">
        <f t="shared" si="90"/>
        <v>0</v>
      </c>
      <c r="BE183" s="387">
        <f t="shared" si="91"/>
        <v>0</v>
      </c>
      <c r="BF183" s="387">
        <f t="shared" si="92"/>
        <v>0</v>
      </c>
      <c r="BG183" s="387">
        <f t="shared" si="93"/>
        <v>0</v>
      </c>
      <c r="BH183" s="387">
        <f t="shared" si="94"/>
        <v>0</v>
      </c>
      <c r="BI183" s="387">
        <f t="shared" si="95"/>
        <v>0</v>
      </c>
      <c r="BJ183" s="387">
        <f t="shared" si="96"/>
        <v>0</v>
      </c>
      <c r="BK183" s="387">
        <f t="shared" si="97"/>
        <v>0</v>
      </c>
      <c r="BL183" s="387">
        <f t="shared" si="120"/>
        <v>0</v>
      </c>
      <c r="BM183" s="387">
        <f t="shared" si="121"/>
        <v>0</v>
      </c>
      <c r="BN183" s="387">
        <f t="shared" si="98"/>
        <v>0</v>
      </c>
      <c r="BO183" s="387">
        <f t="shared" si="99"/>
        <v>0</v>
      </c>
      <c r="BP183" s="387">
        <f t="shared" si="100"/>
        <v>0</v>
      </c>
      <c r="BQ183" s="387">
        <f t="shared" si="101"/>
        <v>0</v>
      </c>
      <c r="BR183" s="387">
        <f t="shared" si="102"/>
        <v>0</v>
      </c>
      <c r="BS183" s="387">
        <f t="shared" si="103"/>
        <v>0</v>
      </c>
      <c r="BT183" s="387">
        <f t="shared" si="104"/>
        <v>0</v>
      </c>
      <c r="BU183" s="387">
        <f t="shared" si="105"/>
        <v>0</v>
      </c>
      <c r="BV183" s="387">
        <f t="shared" si="106"/>
        <v>0</v>
      </c>
      <c r="BW183" s="387">
        <f t="shared" si="107"/>
        <v>0</v>
      </c>
      <c r="BX183" s="387">
        <f t="shared" si="122"/>
        <v>0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0</v>
      </c>
      <c r="CG183" s="387">
        <f t="shared" si="112"/>
        <v>0</v>
      </c>
      <c r="CH183" s="387">
        <f t="shared" si="113"/>
        <v>0</v>
      </c>
      <c r="CI183" s="387">
        <f t="shared" si="114"/>
        <v>0</v>
      </c>
      <c r="CJ183" s="387">
        <f t="shared" si="127"/>
        <v>0</v>
      </c>
      <c r="CK183" s="387" t="str">
        <f t="shared" si="128"/>
        <v/>
      </c>
      <c r="CL183" s="387">
        <f t="shared" si="129"/>
        <v>0</v>
      </c>
      <c r="CM183" s="387">
        <f t="shared" si="130"/>
        <v>0</v>
      </c>
      <c r="CN183" s="387" t="str">
        <f t="shared" si="131"/>
        <v>0462-99</v>
      </c>
    </row>
    <row r="184" spans="1:92" ht="15.75" thickBot="1" x14ac:dyDescent="0.3">
      <c r="A184" s="376" t="s">
        <v>161</v>
      </c>
      <c r="B184" s="376" t="s">
        <v>162</v>
      </c>
      <c r="C184" s="376" t="s">
        <v>807</v>
      </c>
      <c r="D184" s="376" t="s">
        <v>808</v>
      </c>
      <c r="E184" s="376" t="s">
        <v>788</v>
      </c>
      <c r="F184" s="382" t="s">
        <v>789</v>
      </c>
      <c r="G184" s="376" t="s">
        <v>757</v>
      </c>
      <c r="H184" s="378"/>
      <c r="I184" s="378"/>
      <c r="J184" s="376" t="s">
        <v>186</v>
      </c>
      <c r="K184" s="376" t="s">
        <v>809</v>
      </c>
      <c r="L184" s="376" t="s">
        <v>441</v>
      </c>
      <c r="M184" s="376" t="s">
        <v>171</v>
      </c>
      <c r="N184" s="376" t="s">
        <v>172</v>
      </c>
      <c r="O184" s="379">
        <v>1</v>
      </c>
      <c r="P184" s="385">
        <v>1</v>
      </c>
      <c r="Q184" s="385">
        <v>1</v>
      </c>
      <c r="R184" s="380">
        <v>80</v>
      </c>
      <c r="S184" s="385">
        <v>1</v>
      </c>
      <c r="T184" s="380">
        <v>33337.919999999998</v>
      </c>
      <c r="U184" s="380">
        <v>0</v>
      </c>
      <c r="V184" s="380">
        <v>18497.439999999999</v>
      </c>
      <c r="W184" s="380">
        <v>42640</v>
      </c>
      <c r="X184" s="380">
        <v>21242.69</v>
      </c>
      <c r="Y184" s="380">
        <v>42640</v>
      </c>
      <c r="Z184" s="380">
        <v>21033.759999999998</v>
      </c>
      <c r="AA184" s="376" t="s">
        <v>810</v>
      </c>
      <c r="AB184" s="376" t="s">
        <v>811</v>
      </c>
      <c r="AC184" s="376" t="s">
        <v>235</v>
      </c>
      <c r="AD184" s="376" t="s">
        <v>570</v>
      </c>
      <c r="AE184" s="376" t="s">
        <v>809</v>
      </c>
      <c r="AF184" s="376" t="s">
        <v>445</v>
      </c>
      <c r="AG184" s="376" t="s">
        <v>178</v>
      </c>
      <c r="AH184" s="381">
        <v>20.5</v>
      </c>
      <c r="AI184" s="379">
        <v>152</v>
      </c>
      <c r="AJ184" s="376" t="s">
        <v>179</v>
      </c>
      <c r="AK184" s="376" t="s">
        <v>180</v>
      </c>
      <c r="AL184" s="376" t="s">
        <v>181</v>
      </c>
      <c r="AM184" s="376" t="s">
        <v>182</v>
      </c>
      <c r="AN184" s="376" t="s">
        <v>68</v>
      </c>
      <c r="AO184" s="379">
        <v>80</v>
      </c>
      <c r="AP184" s="385">
        <v>1</v>
      </c>
      <c r="AQ184" s="385">
        <v>1</v>
      </c>
      <c r="AR184" s="383" t="s">
        <v>183</v>
      </c>
      <c r="AS184" s="387">
        <f t="shared" si="115"/>
        <v>1</v>
      </c>
      <c r="AT184">
        <f t="shared" si="116"/>
        <v>1</v>
      </c>
      <c r="AU184" s="387">
        <f>IF(AT184=0,"",IF(AND(AT184=1,M184="F",SUMIF(C2:C206,C184,AS2:AS206)&lt;=1),SUMIF(C2:C206,C184,AS2:AS206),IF(AND(AT184=1,M184="F",SUMIF(C2:C206,C184,AS2:AS206)&gt;1),1,"")))</f>
        <v>1</v>
      </c>
      <c r="AV184" s="387" t="str">
        <f>IF(AT184=0,"",IF(AND(AT184=3,M184="F",SUMIF(C2:C206,C184,AS2:AS206)&lt;=1),SUMIF(C2:C206,C184,AS2:AS206),IF(AND(AT184=3,M184="F",SUMIF(C2:C206,C184,AS2:AS206)&gt;1),1,"")))</f>
        <v/>
      </c>
      <c r="AW184" s="387">
        <f>SUMIF(C2:C206,C184,O2:O206)</f>
        <v>1</v>
      </c>
      <c r="AX184" s="387">
        <f>IF(AND(M184="F",AS184&lt;&gt;0),SUMIF(C2:C206,C184,W2:W206),0)</f>
        <v>42640</v>
      </c>
      <c r="AY184" s="387">
        <f t="shared" si="117"/>
        <v>42640</v>
      </c>
      <c r="AZ184" s="387" t="str">
        <f t="shared" si="118"/>
        <v/>
      </c>
      <c r="BA184" s="387">
        <f t="shared" si="119"/>
        <v>0</v>
      </c>
      <c r="BB184" s="387">
        <f t="shared" si="88"/>
        <v>11650</v>
      </c>
      <c r="BC184" s="387">
        <f t="shared" si="89"/>
        <v>0</v>
      </c>
      <c r="BD184" s="387">
        <f t="shared" si="90"/>
        <v>2643.68</v>
      </c>
      <c r="BE184" s="387">
        <f t="shared" si="91"/>
        <v>618.28000000000009</v>
      </c>
      <c r="BF184" s="387">
        <f t="shared" si="92"/>
        <v>5091.2160000000003</v>
      </c>
      <c r="BG184" s="387">
        <f t="shared" si="93"/>
        <v>307.43440000000004</v>
      </c>
      <c r="BH184" s="387">
        <f t="shared" si="94"/>
        <v>208.93600000000001</v>
      </c>
      <c r="BI184" s="387">
        <f t="shared" si="95"/>
        <v>130.47839999999999</v>
      </c>
      <c r="BJ184" s="387">
        <f t="shared" si="96"/>
        <v>592.69599999999991</v>
      </c>
      <c r="BK184" s="387">
        <f t="shared" si="97"/>
        <v>0</v>
      </c>
      <c r="BL184" s="387">
        <f t="shared" si="120"/>
        <v>9592.7207999999991</v>
      </c>
      <c r="BM184" s="387">
        <f t="shared" si="121"/>
        <v>0</v>
      </c>
      <c r="BN184" s="387">
        <f t="shared" si="98"/>
        <v>11650</v>
      </c>
      <c r="BO184" s="387">
        <f t="shared" si="99"/>
        <v>0</v>
      </c>
      <c r="BP184" s="387">
        <f t="shared" si="100"/>
        <v>2643.68</v>
      </c>
      <c r="BQ184" s="387">
        <f t="shared" si="101"/>
        <v>618.28000000000009</v>
      </c>
      <c r="BR184" s="387">
        <f t="shared" si="102"/>
        <v>5091.2160000000003</v>
      </c>
      <c r="BS184" s="387">
        <f t="shared" si="103"/>
        <v>307.43440000000004</v>
      </c>
      <c r="BT184" s="387">
        <f t="shared" si="104"/>
        <v>0</v>
      </c>
      <c r="BU184" s="387">
        <f t="shared" si="105"/>
        <v>130.47839999999999</v>
      </c>
      <c r="BV184" s="387">
        <f t="shared" si="106"/>
        <v>592.69599999999991</v>
      </c>
      <c r="BW184" s="387">
        <f t="shared" si="107"/>
        <v>0</v>
      </c>
      <c r="BX184" s="387">
        <f t="shared" si="122"/>
        <v>9383.7847999999994</v>
      </c>
      <c r="BY184" s="387">
        <f t="shared" si="123"/>
        <v>0</v>
      </c>
      <c r="BZ184" s="387">
        <f t="shared" si="124"/>
        <v>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0</v>
      </c>
      <c r="CE184" s="387">
        <f t="shared" si="110"/>
        <v>0</v>
      </c>
      <c r="CF184" s="387">
        <f t="shared" si="111"/>
        <v>-208.93600000000001</v>
      </c>
      <c r="CG184" s="387">
        <f t="shared" si="112"/>
        <v>0</v>
      </c>
      <c r="CH184" s="387">
        <f t="shared" si="113"/>
        <v>0</v>
      </c>
      <c r="CI184" s="387">
        <f t="shared" si="114"/>
        <v>0</v>
      </c>
      <c r="CJ184" s="387">
        <f t="shared" si="127"/>
        <v>-208.93600000000001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0462-99</v>
      </c>
    </row>
    <row r="185" spans="1:92" ht="15.75" thickBot="1" x14ac:dyDescent="0.3">
      <c r="A185" s="376" t="s">
        <v>161</v>
      </c>
      <c r="B185" s="376" t="s">
        <v>162</v>
      </c>
      <c r="C185" s="376" t="s">
        <v>812</v>
      </c>
      <c r="D185" s="376" t="s">
        <v>813</v>
      </c>
      <c r="E185" s="376" t="s">
        <v>788</v>
      </c>
      <c r="F185" s="382" t="s">
        <v>789</v>
      </c>
      <c r="G185" s="376" t="s">
        <v>757</v>
      </c>
      <c r="H185" s="378"/>
      <c r="I185" s="378"/>
      <c r="J185" s="376" t="s">
        <v>186</v>
      </c>
      <c r="K185" s="376" t="s">
        <v>814</v>
      </c>
      <c r="L185" s="376" t="s">
        <v>188</v>
      </c>
      <c r="M185" s="376" t="s">
        <v>171</v>
      </c>
      <c r="N185" s="376" t="s">
        <v>172</v>
      </c>
      <c r="O185" s="379">
        <v>1</v>
      </c>
      <c r="P185" s="385">
        <v>1</v>
      </c>
      <c r="Q185" s="385">
        <v>1</v>
      </c>
      <c r="R185" s="380">
        <v>80</v>
      </c>
      <c r="S185" s="385">
        <v>1</v>
      </c>
      <c r="T185" s="380">
        <v>51218.41</v>
      </c>
      <c r="U185" s="380">
        <v>0</v>
      </c>
      <c r="V185" s="380">
        <v>22211.06</v>
      </c>
      <c r="W185" s="380">
        <v>54516.800000000003</v>
      </c>
      <c r="X185" s="380">
        <v>23914.62</v>
      </c>
      <c r="Y185" s="380">
        <v>54516.800000000003</v>
      </c>
      <c r="Z185" s="380">
        <v>23647.49</v>
      </c>
      <c r="AA185" s="376" t="s">
        <v>815</v>
      </c>
      <c r="AB185" s="376" t="s">
        <v>652</v>
      </c>
      <c r="AC185" s="376" t="s">
        <v>816</v>
      </c>
      <c r="AD185" s="376" t="s">
        <v>817</v>
      </c>
      <c r="AE185" s="376" t="s">
        <v>814</v>
      </c>
      <c r="AF185" s="376" t="s">
        <v>193</v>
      </c>
      <c r="AG185" s="376" t="s">
        <v>178</v>
      </c>
      <c r="AH185" s="381">
        <v>26.21</v>
      </c>
      <c r="AI185" s="381">
        <v>9477.4</v>
      </c>
      <c r="AJ185" s="376" t="s">
        <v>179</v>
      </c>
      <c r="AK185" s="376" t="s">
        <v>180</v>
      </c>
      <c r="AL185" s="376" t="s">
        <v>181</v>
      </c>
      <c r="AM185" s="376" t="s">
        <v>182</v>
      </c>
      <c r="AN185" s="376" t="s">
        <v>68</v>
      </c>
      <c r="AO185" s="379">
        <v>80</v>
      </c>
      <c r="AP185" s="385">
        <v>1</v>
      </c>
      <c r="AQ185" s="385">
        <v>1</v>
      </c>
      <c r="AR185" s="383" t="s">
        <v>183</v>
      </c>
      <c r="AS185" s="387">
        <f t="shared" si="115"/>
        <v>1</v>
      </c>
      <c r="AT185">
        <f t="shared" si="116"/>
        <v>1</v>
      </c>
      <c r="AU185" s="387">
        <f>IF(AT185=0,"",IF(AND(AT185=1,M185="F",SUMIF(C2:C206,C185,AS2:AS206)&lt;=1),SUMIF(C2:C206,C185,AS2:AS206),IF(AND(AT185=1,M185="F",SUMIF(C2:C206,C185,AS2:AS206)&gt;1),1,"")))</f>
        <v>1</v>
      </c>
      <c r="AV185" s="387" t="str">
        <f>IF(AT185=0,"",IF(AND(AT185=3,M185="F",SUMIF(C2:C206,C185,AS2:AS206)&lt;=1),SUMIF(C2:C206,C185,AS2:AS206),IF(AND(AT185=3,M185="F",SUMIF(C2:C206,C185,AS2:AS206)&gt;1),1,"")))</f>
        <v/>
      </c>
      <c r="AW185" s="387">
        <f>SUMIF(C2:C206,C185,O2:O206)</f>
        <v>1</v>
      </c>
      <c r="AX185" s="387">
        <f>IF(AND(M185="F",AS185&lt;&gt;0),SUMIF(C2:C206,C185,W2:W206),0)</f>
        <v>54516.800000000003</v>
      </c>
      <c r="AY185" s="387">
        <f t="shared" si="117"/>
        <v>54516.800000000003</v>
      </c>
      <c r="AZ185" s="387" t="str">
        <f t="shared" si="118"/>
        <v/>
      </c>
      <c r="BA185" s="387">
        <f t="shared" si="119"/>
        <v>0</v>
      </c>
      <c r="BB185" s="387">
        <f t="shared" si="88"/>
        <v>11650</v>
      </c>
      <c r="BC185" s="387">
        <f t="shared" si="89"/>
        <v>0</v>
      </c>
      <c r="BD185" s="387">
        <f t="shared" si="90"/>
        <v>3380.0416</v>
      </c>
      <c r="BE185" s="387">
        <f t="shared" si="91"/>
        <v>790.49360000000013</v>
      </c>
      <c r="BF185" s="387">
        <f t="shared" si="92"/>
        <v>6509.3059200000007</v>
      </c>
      <c r="BG185" s="387">
        <f t="shared" si="93"/>
        <v>393.06612800000005</v>
      </c>
      <c r="BH185" s="387">
        <f t="shared" si="94"/>
        <v>267.13231999999999</v>
      </c>
      <c r="BI185" s="387">
        <f t="shared" si="95"/>
        <v>166.82140799999999</v>
      </c>
      <c r="BJ185" s="387">
        <f t="shared" si="96"/>
        <v>757.78351999999995</v>
      </c>
      <c r="BK185" s="387">
        <f t="shared" si="97"/>
        <v>0</v>
      </c>
      <c r="BL185" s="387">
        <f t="shared" si="120"/>
        <v>12264.644496000001</v>
      </c>
      <c r="BM185" s="387">
        <f t="shared" si="121"/>
        <v>0</v>
      </c>
      <c r="BN185" s="387">
        <f t="shared" si="98"/>
        <v>11650</v>
      </c>
      <c r="BO185" s="387">
        <f t="shared" si="99"/>
        <v>0</v>
      </c>
      <c r="BP185" s="387">
        <f t="shared" si="100"/>
        <v>3380.0416</v>
      </c>
      <c r="BQ185" s="387">
        <f t="shared" si="101"/>
        <v>790.49360000000013</v>
      </c>
      <c r="BR185" s="387">
        <f t="shared" si="102"/>
        <v>6509.3059200000007</v>
      </c>
      <c r="BS185" s="387">
        <f t="shared" si="103"/>
        <v>393.06612800000005</v>
      </c>
      <c r="BT185" s="387">
        <f t="shared" si="104"/>
        <v>0</v>
      </c>
      <c r="BU185" s="387">
        <f t="shared" si="105"/>
        <v>166.82140799999999</v>
      </c>
      <c r="BV185" s="387">
        <f t="shared" si="106"/>
        <v>757.78351999999995</v>
      </c>
      <c r="BW185" s="387">
        <f t="shared" si="107"/>
        <v>0</v>
      </c>
      <c r="BX185" s="387">
        <f t="shared" si="122"/>
        <v>11997.512176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-267.13231999999999</v>
      </c>
      <c r="CG185" s="387">
        <f t="shared" si="112"/>
        <v>0</v>
      </c>
      <c r="CH185" s="387">
        <f t="shared" si="113"/>
        <v>0</v>
      </c>
      <c r="CI185" s="387">
        <f t="shared" si="114"/>
        <v>0</v>
      </c>
      <c r="CJ185" s="387">
        <f t="shared" si="127"/>
        <v>-267.13231999999999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0462-99</v>
      </c>
    </row>
    <row r="186" spans="1:92" ht="15.75" thickBot="1" x14ac:dyDescent="0.3">
      <c r="A186" s="376" t="s">
        <v>161</v>
      </c>
      <c r="B186" s="376" t="s">
        <v>162</v>
      </c>
      <c r="C186" s="376" t="s">
        <v>818</v>
      </c>
      <c r="D186" s="376" t="s">
        <v>185</v>
      </c>
      <c r="E186" s="376" t="s">
        <v>788</v>
      </c>
      <c r="F186" s="382" t="s">
        <v>789</v>
      </c>
      <c r="G186" s="376" t="s">
        <v>757</v>
      </c>
      <c r="H186" s="378"/>
      <c r="I186" s="378"/>
      <c r="J186" s="376" t="s">
        <v>186</v>
      </c>
      <c r="K186" s="376" t="s">
        <v>187</v>
      </c>
      <c r="L186" s="376" t="s">
        <v>188</v>
      </c>
      <c r="M186" s="376" t="s">
        <v>207</v>
      </c>
      <c r="N186" s="376" t="s">
        <v>172</v>
      </c>
      <c r="O186" s="379">
        <v>0</v>
      </c>
      <c r="P186" s="385">
        <v>1</v>
      </c>
      <c r="Q186" s="385">
        <v>1</v>
      </c>
      <c r="R186" s="380">
        <v>80</v>
      </c>
      <c r="S186" s="385">
        <v>1</v>
      </c>
      <c r="T186" s="380">
        <v>49112.800000000003</v>
      </c>
      <c r="U186" s="380">
        <v>0</v>
      </c>
      <c r="V186" s="380">
        <v>20459.05</v>
      </c>
      <c r="W186" s="380">
        <v>47403.199999999997</v>
      </c>
      <c r="X186" s="380">
        <v>20762.599999999999</v>
      </c>
      <c r="Y186" s="380">
        <v>47403.199999999997</v>
      </c>
      <c r="Z186" s="380">
        <v>20525.580000000002</v>
      </c>
      <c r="AA186" s="378"/>
      <c r="AB186" s="376" t="s">
        <v>45</v>
      </c>
      <c r="AC186" s="376" t="s">
        <v>45</v>
      </c>
      <c r="AD186" s="378"/>
      <c r="AE186" s="378"/>
      <c r="AF186" s="378"/>
      <c r="AG186" s="378"/>
      <c r="AH186" s="379">
        <v>0</v>
      </c>
      <c r="AI186" s="379">
        <v>0</v>
      </c>
      <c r="AJ186" s="378"/>
      <c r="AK186" s="378"/>
      <c r="AL186" s="376" t="s">
        <v>181</v>
      </c>
      <c r="AM186" s="378"/>
      <c r="AN186" s="378"/>
      <c r="AO186" s="379">
        <v>0</v>
      </c>
      <c r="AP186" s="385">
        <v>0</v>
      </c>
      <c r="AQ186" s="385">
        <v>0</v>
      </c>
      <c r="AR186" s="384"/>
      <c r="AS186" s="387">
        <f t="shared" si="115"/>
        <v>0</v>
      </c>
      <c r="AT186">
        <f t="shared" si="116"/>
        <v>0</v>
      </c>
      <c r="AU186" s="387" t="str">
        <f>IF(AT186=0,"",IF(AND(AT186=1,M186="F",SUMIF(C2:C206,C186,AS2:AS206)&lt;=1),SUMIF(C2:C206,C186,AS2:AS206),IF(AND(AT186=1,M186="F",SUMIF(C2:C206,C186,AS2:AS206)&gt;1),1,"")))</f>
        <v/>
      </c>
      <c r="AV186" s="387" t="str">
        <f>IF(AT186=0,"",IF(AND(AT186=3,M186="F",SUMIF(C2:C206,C186,AS2:AS206)&lt;=1),SUMIF(C2:C206,C186,AS2:AS206),IF(AND(AT186=3,M186="F",SUMIF(C2:C206,C186,AS2:AS206)&gt;1),1,"")))</f>
        <v/>
      </c>
      <c r="AW186" s="387">
        <f>SUMIF(C2:C206,C186,O2:O206)</f>
        <v>0</v>
      </c>
      <c r="AX186" s="387">
        <f>IF(AND(M186="F",AS186&lt;&gt;0),SUMIF(C2:C206,C186,W2:W206),0)</f>
        <v>0</v>
      </c>
      <c r="AY186" s="387" t="str">
        <f t="shared" si="117"/>
        <v/>
      </c>
      <c r="AZ186" s="387" t="str">
        <f t="shared" si="118"/>
        <v/>
      </c>
      <c r="BA186" s="387">
        <f t="shared" si="119"/>
        <v>0</v>
      </c>
      <c r="BB186" s="387">
        <f t="shared" si="88"/>
        <v>0</v>
      </c>
      <c r="BC186" s="387">
        <f t="shared" si="89"/>
        <v>0</v>
      </c>
      <c r="BD186" s="387">
        <f t="shared" si="90"/>
        <v>0</v>
      </c>
      <c r="BE186" s="387">
        <f t="shared" si="91"/>
        <v>0</v>
      </c>
      <c r="BF186" s="387">
        <f t="shared" si="92"/>
        <v>0</v>
      </c>
      <c r="BG186" s="387">
        <f t="shared" si="93"/>
        <v>0</v>
      </c>
      <c r="BH186" s="387">
        <f t="shared" si="94"/>
        <v>0</v>
      </c>
      <c r="BI186" s="387">
        <f t="shared" si="95"/>
        <v>0</v>
      </c>
      <c r="BJ186" s="387">
        <f t="shared" si="96"/>
        <v>0</v>
      </c>
      <c r="BK186" s="387">
        <f t="shared" si="97"/>
        <v>0</v>
      </c>
      <c r="BL186" s="387">
        <f t="shared" si="120"/>
        <v>0</v>
      </c>
      <c r="BM186" s="387">
        <f t="shared" si="121"/>
        <v>0</v>
      </c>
      <c r="BN186" s="387">
        <f t="shared" si="98"/>
        <v>0</v>
      </c>
      <c r="BO186" s="387">
        <f t="shared" si="99"/>
        <v>0</v>
      </c>
      <c r="BP186" s="387">
        <f t="shared" si="100"/>
        <v>0</v>
      </c>
      <c r="BQ186" s="387">
        <f t="shared" si="101"/>
        <v>0</v>
      </c>
      <c r="BR186" s="387">
        <f t="shared" si="102"/>
        <v>0</v>
      </c>
      <c r="BS186" s="387">
        <f t="shared" si="103"/>
        <v>0</v>
      </c>
      <c r="BT186" s="387">
        <f t="shared" si="104"/>
        <v>0</v>
      </c>
      <c r="BU186" s="387">
        <f t="shared" si="105"/>
        <v>0</v>
      </c>
      <c r="BV186" s="387">
        <f t="shared" si="106"/>
        <v>0</v>
      </c>
      <c r="BW186" s="387">
        <f t="shared" si="107"/>
        <v>0</v>
      </c>
      <c r="BX186" s="387">
        <f t="shared" si="122"/>
        <v>0</v>
      </c>
      <c r="BY186" s="387">
        <f t="shared" si="123"/>
        <v>0</v>
      </c>
      <c r="BZ186" s="387">
        <f t="shared" si="124"/>
        <v>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0</v>
      </c>
      <c r="CE186" s="387">
        <f t="shared" si="110"/>
        <v>0</v>
      </c>
      <c r="CF186" s="387">
        <f t="shared" si="111"/>
        <v>0</v>
      </c>
      <c r="CG186" s="387">
        <f t="shared" si="112"/>
        <v>0</v>
      </c>
      <c r="CH186" s="387">
        <f t="shared" si="113"/>
        <v>0</v>
      </c>
      <c r="CI186" s="387">
        <f t="shared" si="114"/>
        <v>0</v>
      </c>
      <c r="CJ186" s="387">
        <f t="shared" si="127"/>
        <v>0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0462-99</v>
      </c>
    </row>
    <row r="187" spans="1:92" ht="15.75" thickBot="1" x14ac:dyDescent="0.3">
      <c r="A187" s="376" t="s">
        <v>161</v>
      </c>
      <c r="B187" s="376" t="s">
        <v>162</v>
      </c>
      <c r="C187" s="376" t="s">
        <v>819</v>
      </c>
      <c r="D187" s="376" t="s">
        <v>820</v>
      </c>
      <c r="E187" s="376" t="s">
        <v>788</v>
      </c>
      <c r="F187" s="382" t="s">
        <v>789</v>
      </c>
      <c r="G187" s="376" t="s">
        <v>757</v>
      </c>
      <c r="H187" s="378"/>
      <c r="I187" s="378"/>
      <c r="J187" s="376" t="s">
        <v>186</v>
      </c>
      <c r="K187" s="376" t="s">
        <v>821</v>
      </c>
      <c r="L187" s="376" t="s">
        <v>166</v>
      </c>
      <c r="M187" s="376" t="s">
        <v>171</v>
      </c>
      <c r="N187" s="376" t="s">
        <v>198</v>
      </c>
      <c r="O187" s="379">
        <v>1</v>
      </c>
      <c r="P187" s="385">
        <v>1</v>
      </c>
      <c r="Q187" s="385">
        <v>1</v>
      </c>
      <c r="R187" s="380">
        <v>80</v>
      </c>
      <c r="S187" s="385">
        <v>1</v>
      </c>
      <c r="T187" s="380">
        <v>104480</v>
      </c>
      <c r="U187" s="380">
        <v>0</v>
      </c>
      <c r="V187" s="380">
        <v>32852.6</v>
      </c>
      <c r="W187" s="380">
        <v>108160</v>
      </c>
      <c r="X187" s="380">
        <v>35651.769999999997</v>
      </c>
      <c r="Y187" s="380">
        <v>108160</v>
      </c>
      <c r="Z187" s="380">
        <v>35121.79</v>
      </c>
      <c r="AA187" s="376" t="s">
        <v>822</v>
      </c>
      <c r="AB187" s="376" t="s">
        <v>823</v>
      </c>
      <c r="AC187" s="376" t="s">
        <v>824</v>
      </c>
      <c r="AD187" s="376" t="s">
        <v>745</v>
      </c>
      <c r="AE187" s="376" t="s">
        <v>821</v>
      </c>
      <c r="AF187" s="376" t="s">
        <v>203</v>
      </c>
      <c r="AG187" s="376" t="s">
        <v>178</v>
      </c>
      <c r="AH187" s="379">
        <v>52</v>
      </c>
      <c r="AI187" s="381">
        <v>24239.5</v>
      </c>
      <c r="AJ187" s="376" t="s">
        <v>179</v>
      </c>
      <c r="AK187" s="376" t="s">
        <v>180</v>
      </c>
      <c r="AL187" s="376" t="s">
        <v>181</v>
      </c>
      <c r="AM187" s="376" t="s">
        <v>182</v>
      </c>
      <c r="AN187" s="376" t="s">
        <v>68</v>
      </c>
      <c r="AO187" s="379">
        <v>80</v>
      </c>
      <c r="AP187" s="385">
        <v>1</v>
      </c>
      <c r="AQ187" s="385">
        <v>1</v>
      </c>
      <c r="AR187" s="383" t="s">
        <v>183</v>
      </c>
      <c r="AS187" s="387">
        <f t="shared" si="115"/>
        <v>1</v>
      </c>
      <c r="AT187">
        <f t="shared" si="116"/>
        <v>1</v>
      </c>
      <c r="AU187" s="387">
        <f>IF(AT187=0,"",IF(AND(AT187=1,M187="F",SUMIF(C2:C206,C187,AS2:AS206)&lt;=1),SUMIF(C2:C206,C187,AS2:AS206),IF(AND(AT187=1,M187="F",SUMIF(C2:C206,C187,AS2:AS206)&gt;1),1,"")))</f>
        <v>1</v>
      </c>
      <c r="AV187" s="387" t="str">
        <f>IF(AT187=0,"",IF(AND(AT187=3,M187="F",SUMIF(C2:C206,C187,AS2:AS206)&lt;=1),SUMIF(C2:C206,C187,AS2:AS206),IF(AND(AT187=3,M187="F",SUMIF(C2:C206,C187,AS2:AS206)&gt;1),1,"")))</f>
        <v/>
      </c>
      <c r="AW187" s="387">
        <f>SUMIF(C2:C206,C187,O2:O206)</f>
        <v>1</v>
      </c>
      <c r="AX187" s="387">
        <f>IF(AND(M187="F",AS187&lt;&gt;0),SUMIF(C2:C206,C187,W2:W206),0)</f>
        <v>108160</v>
      </c>
      <c r="AY187" s="387">
        <f t="shared" si="117"/>
        <v>108160</v>
      </c>
      <c r="AZ187" s="387" t="str">
        <f t="shared" si="118"/>
        <v/>
      </c>
      <c r="BA187" s="387">
        <f t="shared" si="119"/>
        <v>0</v>
      </c>
      <c r="BB187" s="387">
        <f t="shared" si="88"/>
        <v>11650</v>
      </c>
      <c r="BC187" s="387">
        <f t="shared" si="89"/>
        <v>0</v>
      </c>
      <c r="BD187" s="387">
        <f t="shared" si="90"/>
        <v>6705.92</v>
      </c>
      <c r="BE187" s="387">
        <f t="shared" si="91"/>
        <v>1568.3200000000002</v>
      </c>
      <c r="BF187" s="387">
        <f t="shared" si="92"/>
        <v>12914.304</v>
      </c>
      <c r="BG187" s="387">
        <f t="shared" si="93"/>
        <v>779.83360000000005</v>
      </c>
      <c r="BH187" s="387">
        <f t="shared" si="94"/>
        <v>529.98400000000004</v>
      </c>
      <c r="BI187" s="387">
        <f t="shared" si="95"/>
        <v>0</v>
      </c>
      <c r="BJ187" s="387">
        <f t="shared" si="96"/>
        <v>1503.424</v>
      </c>
      <c r="BK187" s="387">
        <f t="shared" si="97"/>
        <v>0</v>
      </c>
      <c r="BL187" s="387">
        <f t="shared" si="120"/>
        <v>24001.785600000003</v>
      </c>
      <c r="BM187" s="387">
        <f t="shared" si="121"/>
        <v>0</v>
      </c>
      <c r="BN187" s="387">
        <f t="shared" si="98"/>
        <v>11650</v>
      </c>
      <c r="BO187" s="387">
        <f t="shared" si="99"/>
        <v>0</v>
      </c>
      <c r="BP187" s="387">
        <f t="shared" si="100"/>
        <v>6705.92</v>
      </c>
      <c r="BQ187" s="387">
        <f t="shared" si="101"/>
        <v>1568.3200000000002</v>
      </c>
      <c r="BR187" s="387">
        <f t="shared" si="102"/>
        <v>12914.304</v>
      </c>
      <c r="BS187" s="387">
        <f t="shared" si="103"/>
        <v>779.83360000000005</v>
      </c>
      <c r="BT187" s="387">
        <f t="shared" si="104"/>
        <v>0</v>
      </c>
      <c r="BU187" s="387">
        <f t="shared" si="105"/>
        <v>0</v>
      </c>
      <c r="BV187" s="387">
        <f t="shared" si="106"/>
        <v>1503.424</v>
      </c>
      <c r="BW187" s="387">
        <f t="shared" si="107"/>
        <v>0</v>
      </c>
      <c r="BX187" s="387">
        <f t="shared" si="122"/>
        <v>23471.801600000003</v>
      </c>
      <c r="BY187" s="387">
        <f t="shared" si="123"/>
        <v>0</v>
      </c>
      <c r="BZ187" s="387">
        <f t="shared" si="124"/>
        <v>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0</v>
      </c>
      <c r="CE187" s="387">
        <f t="shared" si="110"/>
        <v>0</v>
      </c>
      <c r="CF187" s="387">
        <f t="shared" si="111"/>
        <v>-529.98400000000004</v>
      </c>
      <c r="CG187" s="387">
        <f t="shared" si="112"/>
        <v>0</v>
      </c>
      <c r="CH187" s="387">
        <f t="shared" si="113"/>
        <v>0</v>
      </c>
      <c r="CI187" s="387">
        <f t="shared" si="114"/>
        <v>0</v>
      </c>
      <c r="CJ187" s="387">
        <f t="shared" si="127"/>
        <v>-529.98400000000004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0462-99</v>
      </c>
    </row>
    <row r="188" spans="1:92" ht="15.75" thickBot="1" x14ac:dyDescent="0.3">
      <c r="A188" s="376" t="s">
        <v>161</v>
      </c>
      <c r="B188" s="376" t="s">
        <v>162</v>
      </c>
      <c r="C188" s="376" t="s">
        <v>194</v>
      </c>
      <c r="D188" s="376" t="s">
        <v>195</v>
      </c>
      <c r="E188" s="376" t="s">
        <v>788</v>
      </c>
      <c r="F188" s="382" t="s">
        <v>789</v>
      </c>
      <c r="G188" s="376" t="s">
        <v>757</v>
      </c>
      <c r="H188" s="378"/>
      <c r="I188" s="378"/>
      <c r="J188" s="376" t="s">
        <v>196</v>
      </c>
      <c r="K188" s="376" t="s">
        <v>197</v>
      </c>
      <c r="L188" s="376" t="s">
        <v>166</v>
      </c>
      <c r="M188" s="376" t="s">
        <v>171</v>
      </c>
      <c r="N188" s="376" t="s">
        <v>198</v>
      </c>
      <c r="O188" s="379">
        <v>1</v>
      </c>
      <c r="P188" s="385">
        <v>0.1</v>
      </c>
      <c r="Q188" s="385">
        <v>0.1</v>
      </c>
      <c r="R188" s="380">
        <v>80</v>
      </c>
      <c r="S188" s="385">
        <v>0.1</v>
      </c>
      <c r="T188" s="380">
        <v>12361.42</v>
      </c>
      <c r="U188" s="380">
        <v>0</v>
      </c>
      <c r="V188" s="380">
        <v>3586.16</v>
      </c>
      <c r="W188" s="380">
        <v>13226.72</v>
      </c>
      <c r="X188" s="380">
        <v>4035.32</v>
      </c>
      <c r="Y188" s="380">
        <v>13226.72</v>
      </c>
      <c r="Z188" s="380">
        <v>4035.32</v>
      </c>
      <c r="AA188" s="376" t="s">
        <v>199</v>
      </c>
      <c r="AB188" s="376" t="s">
        <v>200</v>
      </c>
      <c r="AC188" s="376" t="s">
        <v>201</v>
      </c>
      <c r="AD188" s="376" t="s">
        <v>202</v>
      </c>
      <c r="AE188" s="376" t="s">
        <v>197</v>
      </c>
      <c r="AF188" s="376" t="s">
        <v>203</v>
      </c>
      <c r="AG188" s="376" t="s">
        <v>178</v>
      </c>
      <c r="AH188" s="381">
        <v>63.59</v>
      </c>
      <c r="AI188" s="379">
        <v>24698</v>
      </c>
      <c r="AJ188" s="376" t="s">
        <v>179</v>
      </c>
      <c r="AK188" s="376" t="s">
        <v>180</v>
      </c>
      <c r="AL188" s="376" t="s">
        <v>181</v>
      </c>
      <c r="AM188" s="376" t="s">
        <v>181</v>
      </c>
      <c r="AN188" s="376" t="s">
        <v>68</v>
      </c>
      <c r="AO188" s="379">
        <v>80</v>
      </c>
      <c r="AP188" s="385">
        <v>1</v>
      </c>
      <c r="AQ188" s="385">
        <v>0.1</v>
      </c>
      <c r="AR188" s="383" t="s">
        <v>183</v>
      </c>
      <c r="AS188" s="387">
        <f t="shared" si="115"/>
        <v>0.1</v>
      </c>
      <c r="AT188">
        <f t="shared" si="116"/>
        <v>1</v>
      </c>
      <c r="AU188" s="387">
        <f>IF(AT188=0,"",IF(AND(AT188=1,M188="F",SUMIF(C2:C206,C188,AS2:AS206)&lt;=1),SUMIF(C2:C206,C188,AS2:AS206),IF(AND(AT188=1,M188="F",SUMIF(C2:C206,C188,AS2:AS206)&gt;1),1,"")))</f>
        <v>1</v>
      </c>
      <c r="AV188" s="387" t="str">
        <f>IF(AT188=0,"",IF(AND(AT188=3,M188="F",SUMIF(C2:C206,C188,AS2:AS206)&lt;=1),SUMIF(C2:C206,C188,AS2:AS206),IF(AND(AT188=3,M188="F",SUMIF(C2:C206,C188,AS2:AS206)&gt;1),1,"")))</f>
        <v/>
      </c>
      <c r="AW188" s="387">
        <f>SUMIF(C2:C206,C188,O2:O206)</f>
        <v>7</v>
      </c>
      <c r="AX188" s="387">
        <f>IF(AND(M188="F",AS188&lt;&gt;0),SUMIF(C2:C206,C188,W2:W206),0)</f>
        <v>132267.19</v>
      </c>
      <c r="AY188" s="387">
        <f t="shared" si="117"/>
        <v>13226.72</v>
      </c>
      <c r="AZ188" s="387" t="str">
        <f t="shared" si="118"/>
        <v/>
      </c>
      <c r="BA188" s="387">
        <f t="shared" si="119"/>
        <v>0</v>
      </c>
      <c r="BB188" s="387">
        <f t="shared" si="88"/>
        <v>1165</v>
      </c>
      <c r="BC188" s="387">
        <f t="shared" si="89"/>
        <v>0</v>
      </c>
      <c r="BD188" s="387">
        <f t="shared" si="90"/>
        <v>820.0566399999999</v>
      </c>
      <c r="BE188" s="387">
        <f t="shared" si="91"/>
        <v>191.78744</v>
      </c>
      <c r="BF188" s="387">
        <f t="shared" si="92"/>
        <v>1579.270368</v>
      </c>
      <c r="BG188" s="387">
        <f t="shared" si="93"/>
        <v>95.364651199999997</v>
      </c>
      <c r="BH188" s="387">
        <f t="shared" si="94"/>
        <v>0</v>
      </c>
      <c r="BI188" s="387">
        <f t="shared" si="95"/>
        <v>0</v>
      </c>
      <c r="BJ188" s="387">
        <f t="shared" si="96"/>
        <v>183.85140799999999</v>
      </c>
      <c r="BK188" s="387">
        <f t="shared" si="97"/>
        <v>0</v>
      </c>
      <c r="BL188" s="387">
        <f t="shared" si="120"/>
        <v>2870.3305071999998</v>
      </c>
      <c r="BM188" s="387">
        <f t="shared" si="121"/>
        <v>0</v>
      </c>
      <c r="BN188" s="387">
        <f t="shared" si="98"/>
        <v>1165</v>
      </c>
      <c r="BO188" s="387">
        <f t="shared" si="99"/>
        <v>0</v>
      </c>
      <c r="BP188" s="387">
        <f t="shared" si="100"/>
        <v>820.0566399999999</v>
      </c>
      <c r="BQ188" s="387">
        <f t="shared" si="101"/>
        <v>191.78744</v>
      </c>
      <c r="BR188" s="387">
        <f t="shared" si="102"/>
        <v>1579.270368</v>
      </c>
      <c r="BS188" s="387">
        <f t="shared" si="103"/>
        <v>95.364651199999997</v>
      </c>
      <c r="BT188" s="387">
        <f t="shared" si="104"/>
        <v>0</v>
      </c>
      <c r="BU188" s="387">
        <f t="shared" si="105"/>
        <v>0</v>
      </c>
      <c r="BV188" s="387">
        <f t="shared" si="106"/>
        <v>183.85140799999999</v>
      </c>
      <c r="BW188" s="387">
        <f t="shared" si="107"/>
        <v>0</v>
      </c>
      <c r="BX188" s="387">
        <f t="shared" si="122"/>
        <v>2870.3305071999998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0</v>
      </c>
      <c r="CG188" s="387">
        <f t="shared" si="112"/>
        <v>0</v>
      </c>
      <c r="CH188" s="387">
        <f t="shared" si="113"/>
        <v>0</v>
      </c>
      <c r="CI188" s="387">
        <f t="shared" si="114"/>
        <v>0</v>
      </c>
      <c r="CJ188" s="387">
        <f t="shared" si="127"/>
        <v>0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0462-99</v>
      </c>
    </row>
    <row r="189" spans="1:92" ht="15.75" thickBot="1" x14ac:dyDescent="0.3">
      <c r="A189" s="376" t="s">
        <v>161</v>
      </c>
      <c r="B189" s="376" t="s">
        <v>162</v>
      </c>
      <c r="C189" s="376" t="s">
        <v>825</v>
      </c>
      <c r="D189" s="376" t="s">
        <v>254</v>
      </c>
      <c r="E189" s="376" t="s">
        <v>788</v>
      </c>
      <c r="F189" s="382" t="s">
        <v>789</v>
      </c>
      <c r="G189" s="376" t="s">
        <v>757</v>
      </c>
      <c r="H189" s="378"/>
      <c r="I189" s="378"/>
      <c r="J189" s="376" t="s">
        <v>186</v>
      </c>
      <c r="K189" s="376" t="s">
        <v>255</v>
      </c>
      <c r="L189" s="376" t="s">
        <v>178</v>
      </c>
      <c r="M189" s="376" t="s">
        <v>171</v>
      </c>
      <c r="N189" s="376" t="s">
        <v>172</v>
      </c>
      <c r="O189" s="379">
        <v>1</v>
      </c>
      <c r="P189" s="385">
        <v>1</v>
      </c>
      <c r="Q189" s="385">
        <v>1</v>
      </c>
      <c r="R189" s="380">
        <v>80</v>
      </c>
      <c r="S189" s="385">
        <v>1</v>
      </c>
      <c r="T189" s="380">
        <v>38277.61</v>
      </c>
      <c r="U189" s="380">
        <v>0</v>
      </c>
      <c r="V189" s="380">
        <v>19535.41</v>
      </c>
      <c r="W189" s="380">
        <v>38584</v>
      </c>
      <c r="X189" s="380">
        <v>20330.2</v>
      </c>
      <c r="Y189" s="380">
        <v>38584</v>
      </c>
      <c r="Z189" s="380">
        <v>20141.14</v>
      </c>
      <c r="AA189" s="376" t="s">
        <v>826</v>
      </c>
      <c r="AB189" s="376" t="s">
        <v>827</v>
      </c>
      <c r="AC189" s="376" t="s">
        <v>383</v>
      </c>
      <c r="AD189" s="376" t="s">
        <v>188</v>
      </c>
      <c r="AE189" s="376" t="s">
        <v>255</v>
      </c>
      <c r="AF189" s="376" t="s">
        <v>250</v>
      </c>
      <c r="AG189" s="376" t="s">
        <v>178</v>
      </c>
      <c r="AH189" s="381">
        <v>18.55</v>
      </c>
      <c r="AI189" s="381">
        <v>18391.5</v>
      </c>
      <c r="AJ189" s="376" t="s">
        <v>179</v>
      </c>
      <c r="AK189" s="376" t="s">
        <v>180</v>
      </c>
      <c r="AL189" s="376" t="s">
        <v>181</v>
      </c>
      <c r="AM189" s="376" t="s">
        <v>182</v>
      </c>
      <c r="AN189" s="376" t="s">
        <v>68</v>
      </c>
      <c r="AO189" s="379">
        <v>80</v>
      </c>
      <c r="AP189" s="385">
        <v>1</v>
      </c>
      <c r="AQ189" s="385">
        <v>1</v>
      </c>
      <c r="AR189" s="383" t="s">
        <v>183</v>
      </c>
      <c r="AS189" s="387">
        <f t="shared" si="115"/>
        <v>1</v>
      </c>
      <c r="AT189">
        <f t="shared" si="116"/>
        <v>1</v>
      </c>
      <c r="AU189" s="387">
        <f>IF(AT189=0,"",IF(AND(AT189=1,M189="F",SUMIF(C2:C206,C189,AS2:AS206)&lt;=1),SUMIF(C2:C206,C189,AS2:AS206),IF(AND(AT189=1,M189="F",SUMIF(C2:C206,C189,AS2:AS206)&gt;1),1,"")))</f>
        <v>1</v>
      </c>
      <c r="AV189" s="387" t="str">
        <f>IF(AT189=0,"",IF(AND(AT189=3,M189="F",SUMIF(C2:C206,C189,AS2:AS206)&lt;=1),SUMIF(C2:C206,C189,AS2:AS206),IF(AND(AT189=3,M189="F",SUMIF(C2:C206,C189,AS2:AS206)&gt;1),1,"")))</f>
        <v/>
      </c>
      <c r="AW189" s="387">
        <f>SUMIF(C2:C206,C189,O2:O206)</f>
        <v>1</v>
      </c>
      <c r="AX189" s="387">
        <f>IF(AND(M189="F",AS189&lt;&gt;0),SUMIF(C2:C206,C189,W2:W206),0)</f>
        <v>38584</v>
      </c>
      <c r="AY189" s="387">
        <f t="shared" si="117"/>
        <v>38584</v>
      </c>
      <c r="AZ189" s="387" t="str">
        <f t="shared" si="118"/>
        <v/>
      </c>
      <c r="BA189" s="387">
        <f t="shared" si="119"/>
        <v>0</v>
      </c>
      <c r="BB189" s="387">
        <f t="shared" si="88"/>
        <v>11650</v>
      </c>
      <c r="BC189" s="387">
        <f t="shared" si="89"/>
        <v>0</v>
      </c>
      <c r="BD189" s="387">
        <f t="shared" si="90"/>
        <v>2392.2080000000001</v>
      </c>
      <c r="BE189" s="387">
        <f t="shared" si="91"/>
        <v>559.46800000000007</v>
      </c>
      <c r="BF189" s="387">
        <f t="shared" si="92"/>
        <v>4606.9296000000004</v>
      </c>
      <c r="BG189" s="387">
        <f t="shared" si="93"/>
        <v>278.19064000000003</v>
      </c>
      <c r="BH189" s="387">
        <f t="shared" si="94"/>
        <v>189.0616</v>
      </c>
      <c r="BI189" s="387">
        <f t="shared" si="95"/>
        <v>118.06703999999999</v>
      </c>
      <c r="BJ189" s="387">
        <f t="shared" si="96"/>
        <v>536.31759999999997</v>
      </c>
      <c r="BK189" s="387">
        <f t="shared" si="97"/>
        <v>0</v>
      </c>
      <c r="BL189" s="387">
        <f t="shared" si="120"/>
        <v>8680.2424800000008</v>
      </c>
      <c r="BM189" s="387">
        <f t="shared" si="121"/>
        <v>0</v>
      </c>
      <c r="BN189" s="387">
        <f t="shared" si="98"/>
        <v>11650</v>
      </c>
      <c r="BO189" s="387">
        <f t="shared" si="99"/>
        <v>0</v>
      </c>
      <c r="BP189" s="387">
        <f t="shared" si="100"/>
        <v>2392.2080000000001</v>
      </c>
      <c r="BQ189" s="387">
        <f t="shared" si="101"/>
        <v>559.46800000000007</v>
      </c>
      <c r="BR189" s="387">
        <f t="shared" si="102"/>
        <v>4606.9296000000004</v>
      </c>
      <c r="BS189" s="387">
        <f t="shared" si="103"/>
        <v>278.19064000000003</v>
      </c>
      <c r="BT189" s="387">
        <f t="shared" si="104"/>
        <v>0</v>
      </c>
      <c r="BU189" s="387">
        <f t="shared" si="105"/>
        <v>118.06703999999999</v>
      </c>
      <c r="BV189" s="387">
        <f t="shared" si="106"/>
        <v>536.31759999999997</v>
      </c>
      <c r="BW189" s="387">
        <f t="shared" si="107"/>
        <v>0</v>
      </c>
      <c r="BX189" s="387">
        <f t="shared" si="122"/>
        <v>8491.1808799999999</v>
      </c>
      <c r="BY189" s="387">
        <f t="shared" si="123"/>
        <v>0</v>
      </c>
      <c r="BZ189" s="387">
        <f t="shared" si="124"/>
        <v>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0</v>
      </c>
      <c r="CE189" s="387">
        <f t="shared" si="110"/>
        <v>0</v>
      </c>
      <c r="CF189" s="387">
        <f t="shared" si="111"/>
        <v>-189.0616</v>
      </c>
      <c r="CG189" s="387">
        <f t="shared" si="112"/>
        <v>0</v>
      </c>
      <c r="CH189" s="387">
        <f t="shared" si="113"/>
        <v>0</v>
      </c>
      <c r="CI189" s="387">
        <f t="shared" si="114"/>
        <v>0</v>
      </c>
      <c r="CJ189" s="387">
        <f t="shared" si="127"/>
        <v>-189.0616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0462-99</v>
      </c>
    </row>
    <row r="190" spans="1:92" ht="15.75" thickBot="1" x14ac:dyDescent="0.3">
      <c r="A190" s="376" t="s">
        <v>161</v>
      </c>
      <c r="B190" s="376" t="s">
        <v>162</v>
      </c>
      <c r="C190" s="376" t="s">
        <v>828</v>
      </c>
      <c r="D190" s="376" t="s">
        <v>829</v>
      </c>
      <c r="E190" s="376" t="s">
        <v>264</v>
      </c>
      <c r="F190" s="377" t="s">
        <v>166</v>
      </c>
      <c r="G190" s="376" t="s">
        <v>757</v>
      </c>
      <c r="H190" s="378"/>
      <c r="I190" s="378"/>
      <c r="J190" s="376" t="s">
        <v>186</v>
      </c>
      <c r="K190" s="376" t="s">
        <v>830</v>
      </c>
      <c r="L190" s="376" t="s">
        <v>166</v>
      </c>
      <c r="M190" s="376" t="s">
        <v>171</v>
      </c>
      <c r="N190" s="376" t="s">
        <v>198</v>
      </c>
      <c r="O190" s="379">
        <v>1</v>
      </c>
      <c r="P190" s="385">
        <v>1</v>
      </c>
      <c r="Q190" s="385">
        <v>1</v>
      </c>
      <c r="R190" s="380">
        <v>80</v>
      </c>
      <c r="S190" s="385">
        <v>1</v>
      </c>
      <c r="T190" s="380">
        <v>77094.36</v>
      </c>
      <c r="U190" s="380">
        <v>0</v>
      </c>
      <c r="V190" s="380">
        <v>24018.53</v>
      </c>
      <c r="W190" s="380">
        <v>76440</v>
      </c>
      <c r="X190" s="380">
        <v>28612.78</v>
      </c>
      <c r="Y190" s="380">
        <v>76440</v>
      </c>
      <c r="Z190" s="380">
        <v>28238.23</v>
      </c>
      <c r="AA190" s="376" t="s">
        <v>831</v>
      </c>
      <c r="AB190" s="376" t="s">
        <v>419</v>
      </c>
      <c r="AC190" s="376" t="s">
        <v>191</v>
      </c>
      <c r="AD190" s="376" t="s">
        <v>306</v>
      </c>
      <c r="AE190" s="376" t="s">
        <v>830</v>
      </c>
      <c r="AF190" s="376" t="s">
        <v>203</v>
      </c>
      <c r="AG190" s="376" t="s">
        <v>178</v>
      </c>
      <c r="AH190" s="381">
        <v>36.75</v>
      </c>
      <c r="AI190" s="379">
        <v>13360</v>
      </c>
      <c r="AJ190" s="376" t="s">
        <v>179</v>
      </c>
      <c r="AK190" s="376" t="s">
        <v>180</v>
      </c>
      <c r="AL190" s="376" t="s">
        <v>181</v>
      </c>
      <c r="AM190" s="376" t="s">
        <v>182</v>
      </c>
      <c r="AN190" s="376" t="s">
        <v>68</v>
      </c>
      <c r="AO190" s="379">
        <v>80</v>
      </c>
      <c r="AP190" s="385">
        <v>1</v>
      </c>
      <c r="AQ190" s="385">
        <v>1</v>
      </c>
      <c r="AR190" s="383" t="s">
        <v>183</v>
      </c>
      <c r="AS190" s="387">
        <f t="shared" si="115"/>
        <v>1</v>
      </c>
      <c r="AT190">
        <f t="shared" si="116"/>
        <v>1</v>
      </c>
      <c r="AU190" s="387">
        <f>IF(AT190=0,"",IF(AND(AT190=1,M190="F",SUMIF(C2:C206,C190,AS2:AS206)&lt;=1),SUMIF(C2:C206,C190,AS2:AS206),IF(AND(AT190=1,M190="F",SUMIF(C2:C206,C190,AS2:AS206)&gt;1),1,"")))</f>
        <v>1</v>
      </c>
      <c r="AV190" s="387" t="str">
        <f>IF(AT190=0,"",IF(AND(AT190=3,M190="F",SUMIF(C2:C206,C190,AS2:AS206)&lt;=1),SUMIF(C2:C206,C190,AS2:AS206),IF(AND(AT190=3,M190="F",SUMIF(C2:C206,C190,AS2:AS206)&gt;1),1,"")))</f>
        <v/>
      </c>
      <c r="AW190" s="387">
        <f>SUMIF(C2:C206,C190,O2:O206)</f>
        <v>1</v>
      </c>
      <c r="AX190" s="387">
        <f>IF(AND(M190="F",AS190&lt;&gt;0),SUMIF(C2:C206,C190,W2:W206),0)</f>
        <v>76440</v>
      </c>
      <c r="AY190" s="387">
        <f t="shared" si="117"/>
        <v>76440</v>
      </c>
      <c r="AZ190" s="387" t="str">
        <f t="shared" si="118"/>
        <v/>
      </c>
      <c r="BA190" s="387">
        <f t="shared" si="119"/>
        <v>0</v>
      </c>
      <c r="BB190" s="387">
        <f t="shared" si="88"/>
        <v>11650</v>
      </c>
      <c r="BC190" s="387">
        <f t="shared" si="89"/>
        <v>0</v>
      </c>
      <c r="BD190" s="387">
        <f t="shared" si="90"/>
        <v>4739.28</v>
      </c>
      <c r="BE190" s="387">
        <f t="shared" si="91"/>
        <v>1108.3800000000001</v>
      </c>
      <c r="BF190" s="387">
        <f t="shared" si="92"/>
        <v>9126.9359999999997</v>
      </c>
      <c r="BG190" s="387">
        <f t="shared" si="93"/>
        <v>551.13240000000008</v>
      </c>
      <c r="BH190" s="387">
        <f t="shared" si="94"/>
        <v>374.55599999999998</v>
      </c>
      <c r="BI190" s="387">
        <f t="shared" si="95"/>
        <v>0</v>
      </c>
      <c r="BJ190" s="387">
        <f t="shared" si="96"/>
        <v>1062.5159999999998</v>
      </c>
      <c r="BK190" s="387">
        <f t="shared" si="97"/>
        <v>0</v>
      </c>
      <c r="BL190" s="387">
        <f t="shared" si="120"/>
        <v>16962.8004</v>
      </c>
      <c r="BM190" s="387">
        <f t="shared" si="121"/>
        <v>0</v>
      </c>
      <c r="BN190" s="387">
        <f t="shared" si="98"/>
        <v>11650</v>
      </c>
      <c r="BO190" s="387">
        <f t="shared" si="99"/>
        <v>0</v>
      </c>
      <c r="BP190" s="387">
        <f t="shared" si="100"/>
        <v>4739.28</v>
      </c>
      <c r="BQ190" s="387">
        <f t="shared" si="101"/>
        <v>1108.3800000000001</v>
      </c>
      <c r="BR190" s="387">
        <f t="shared" si="102"/>
        <v>9126.9359999999997</v>
      </c>
      <c r="BS190" s="387">
        <f t="shared" si="103"/>
        <v>551.13240000000008</v>
      </c>
      <c r="BT190" s="387">
        <f t="shared" si="104"/>
        <v>0</v>
      </c>
      <c r="BU190" s="387">
        <f t="shared" si="105"/>
        <v>0</v>
      </c>
      <c r="BV190" s="387">
        <f t="shared" si="106"/>
        <v>1062.5159999999998</v>
      </c>
      <c r="BW190" s="387">
        <f t="shared" si="107"/>
        <v>0</v>
      </c>
      <c r="BX190" s="387">
        <f t="shared" si="122"/>
        <v>16588.2444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-374.55599999999998</v>
      </c>
      <c r="CG190" s="387">
        <f t="shared" si="112"/>
        <v>0</v>
      </c>
      <c r="CH190" s="387">
        <f t="shared" si="113"/>
        <v>0</v>
      </c>
      <c r="CI190" s="387">
        <f t="shared" si="114"/>
        <v>0</v>
      </c>
      <c r="CJ190" s="387">
        <f t="shared" si="127"/>
        <v>-374.55599999999998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0519-00</v>
      </c>
    </row>
    <row r="191" spans="1:92" ht="15.75" thickBot="1" x14ac:dyDescent="0.3">
      <c r="A191" s="376" t="s">
        <v>161</v>
      </c>
      <c r="B191" s="376" t="s">
        <v>162</v>
      </c>
      <c r="C191" s="376" t="s">
        <v>832</v>
      </c>
      <c r="D191" s="376" t="s">
        <v>833</v>
      </c>
      <c r="E191" s="376" t="s">
        <v>264</v>
      </c>
      <c r="F191" s="377" t="s">
        <v>166</v>
      </c>
      <c r="G191" s="376" t="s">
        <v>757</v>
      </c>
      <c r="H191" s="378"/>
      <c r="I191" s="378"/>
      <c r="J191" s="376" t="s">
        <v>186</v>
      </c>
      <c r="K191" s="376" t="s">
        <v>834</v>
      </c>
      <c r="L191" s="376" t="s">
        <v>170</v>
      </c>
      <c r="M191" s="376" t="s">
        <v>207</v>
      </c>
      <c r="N191" s="376" t="s">
        <v>172</v>
      </c>
      <c r="O191" s="379">
        <v>0</v>
      </c>
      <c r="P191" s="385">
        <v>1</v>
      </c>
      <c r="Q191" s="385">
        <v>1</v>
      </c>
      <c r="R191" s="380">
        <v>80</v>
      </c>
      <c r="S191" s="385">
        <v>1</v>
      </c>
      <c r="T191" s="380">
        <v>25652</v>
      </c>
      <c r="U191" s="380">
        <v>0</v>
      </c>
      <c r="V191" s="380">
        <v>10146.76</v>
      </c>
      <c r="W191" s="380">
        <v>53476.800000000003</v>
      </c>
      <c r="X191" s="380">
        <v>23422.83</v>
      </c>
      <c r="Y191" s="380">
        <v>53476.800000000003</v>
      </c>
      <c r="Z191" s="380">
        <v>23155.45</v>
      </c>
      <c r="AA191" s="378"/>
      <c r="AB191" s="376" t="s">
        <v>45</v>
      </c>
      <c r="AC191" s="376" t="s">
        <v>45</v>
      </c>
      <c r="AD191" s="378"/>
      <c r="AE191" s="378"/>
      <c r="AF191" s="378"/>
      <c r="AG191" s="378"/>
      <c r="AH191" s="379">
        <v>0</v>
      </c>
      <c r="AI191" s="379">
        <v>0</v>
      </c>
      <c r="AJ191" s="378"/>
      <c r="AK191" s="378"/>
      <c r="AL191" s="376" t="s">
        <v>181</v>
      </c>
      <c r="AM191" s="378"/>
      <c r="AN191" s="378"/>
      <c r="AO191" s="379">
        <v>0</v>
      </c>
      <c r="AP191" s="385">
        <v>0</v>
      </c>
      <c r="AQ191" s="385">
        <v>0</v>
      </c>
      <c r="AR191" s="384"/>
      <c r="AS191" s="387">
        <f t="shared" si="115"/>
        <v>0</v>
      </c>
      <c r="AT191">
        <f t="shared" si="116"/>
        <v>0</v>
      </c>
      <c r="AU191" s="387" t="str">
        <f>IF(AT191=0,"",IF(AND(AT191=1,M191="F",SUMIF(C2:C206,C191,AS2:AS206)&lt;=1),SUMIF(C2:C206,C191,AS2:AS206),IF(AND(AT191=1,M191="F",SUMIF(C2:C206,C191,AS2:AS206)&gt;1),1,"")))</f>
        <v/>
      </c>
      <c r="AV191" s="387" t="str">
        <f>IF(AT191=0,"",IF(AND(AT191=3,M191="F",SUMIF(C2:C206,C191,AS2:AS206)&lt;=1),SUMIF(C2:C206,C191,AS2:AS206),IF(AND(AT191=3,M191="F",SUMIF(C2:C206,C191,AS2:AS206)&gt;1),1,"")))</f>
        <v/>
      </c>
      <c r="AW191" s="387">
        <f>SUMIF(C2:C206,C191,O2:O206)</f>
        <v>0</v>
      </c>
      <c r="AX191" s="387">
        <f>IF(AND(M191="F",AS191&lt;&gt;0),SUMIF(C2:C206,C191,W2:W206),0)</f>
        <v>0</v>
      </c>
      <c r="AY191" s="387" t="str">
        <f t="shared" si="117"/>
        <v/>
      </c>
      <c r="AZ191" s="387" t="str">
        <f t="shared" si="118"/>
        <v/>
      </c>
      <c r="BA191" s="387">
        <f t="shared" si="119"/>
        <v>0</v>
      </c>
      <c r="BB191" s="387">
        <f t="shared" si="88"/>
        <v>0</v>
      </c>
      <c r="BC191" s="387">
        <f t="shared" si="89"/>
        <v>0</v>
      </c>
      <c r="BD191" s="387">
        <f t="shared" si="90"/>
        <v>0</v>
      </c>
      <c r="BE191" s="387">
        <f t="shared" si="91"/>
        <v>0</v>
      </c>
      <c r="BF191" s="387">
        <f t="shared" si="92"/>
        <v>0</v>
      </c>
      <c r="BG191" s="387">
        <f t="shared" si="93"/>
        <v>0</v>
      </c>
      <c r="BH191" s="387">
        <f t="shared" si="94"/>
        <v>0</v>
      </c>
      <c r="BI191" s="387">
        <f t="shared" si="95"/>
        <v>0</v>
      </c>
      <c r="BJ191" s="387">
        <f t="shared" si="96"/>
        <v>0</v>
      </c>
      <c r="BK191" s="387">
        <f t="shared" si="97"/>
        <v>0</v>
      </c>
      <c r="BL191" s="387">
        <f t="shared" si="120"/>
        <v>0</v>
      </c>
      <c r="BM191" s="387">
        <f t="shared" si="121"/>
        <v>0</v>
      </c>
      <c r="BN191" s="387">
        <f t="shared" si="98"/>
        <v>0</v>
      </c>
      <c r="BO191" s="387">
        <f t="shared" si="99"/>
        <v>0</v>
      </c>
      <c r="BP191" s="387">
        <f t="shared" si="100"/>
        <v>0</v>
      </c>
      <c r="BQ191" s="387">
        <f t="shared" si="101"/>
        <v>0</v>
      </c>
      <c r="BR191" s="387">
        <f t="shared" si="102"/>
        <v>0</v>
      </c>
      <c r="BS191" s="387">
        <f t="shared" si="103"/>
        <v>0</v>
      </c>
      <c r="BT191" s="387">
        <f t="shared" si="104"/>
        <v>0</v>
      </c>
      <c r="BU191" s="387">
        <f t="shared" si="105"/>
        <v>0</v>
      </c>
      <c r="BV191" s="387">
        <f t="shared" si="106"/>
        <v>0</v>
      </c>
      <c r="BW191" s="387">
        <f t="shared" si="107"/>
        <v>0</v>
      </c>
      <c r="BX191" s="387">
        <f t="shared" si="122"/>
        <v>0</v>
      </c>
      <c r="BY191" s="387">
        <f t="shared" si="123"/>
        <v>0</v>
      </c>
      <c r="BZ191" s="387">
        <f t="shared" si="124"/>
        <v>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0</v>
      </c>
      <c r="CE191" s="387">
        <f t="shared" si="110"/>
        <v>0</v>
      </c>
      <c r="CF191" s="387">
        <f t="shared" si="111"/>
        <v>0</v>
      </c>
      <c r="CG191" s="387">
        <f t="shared" si="112"/>
        <v>0</v>
      </c>
      <c r="CH191" s="387">
        <f t="shared" si="113"/>
        <v>0</v>
      </c>
      <c r="CI191" s="387">
        <f t="shared" si="114"/>
        <v>0</v>
      </c>
      <c r="CJ191" s="387">
        <f t="shared" si="127"/>
        <v>0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0519-00</v>
      </c>
    </row>
    <row r="192" spans="1:92" ht="15.75" thickBot="1" x14ac:dyDescent="0.3">
      <c r="A192" s="376" t="s">
        <v>161</v>
      </c>
      <c r="B192" s="376" t="s">
        <v>162</v>
      </c>
      <c r="C192" s="376" t="s">
        <v>230</v>
      </c>
      <c r="D192" s="376" t="s">
        <v>164</v>
      </c>
      <c r="E192" s="376" t="s">
        <v>741</v>
      </c>
      <c r="F192" s="377" t="s">
        <v>166</v>
      </c>
      <c r="G192" s="376" t="s">
        <v>835</v>
      </c>
      <c r="H192" s="378"/>
      <c r="I192" s="378"/>
      <c r="J192" s="376" t="s">
        <v>231</v>
      </c>
      <c r="K192" s="376" t="s">
        <v>232</v>
      </c>
      <c r="L192" s="376" t="s">
        <v>188</v>
      </c>
      <c r="M192" s="376" t="s">
        <v>171</v>
      </c>
      <c r="N192" s="376" t="s">
        <v>172</v>
      </c>
      <c r="O192" s="379">
        <v>1</v>
      </c>
      <c r="P192" s="385">
        <v>0.1</v>
      </c>
      <c r="Q192" s="385">
        <v>0.1</v>
      </c>
      <c r="R192" s="380">
        <v>80</v>
      </c>
      <c r="S192" s="385">
        <v>0.1</v>
      </c>
      <c r="T192" s="380">
        <v>5022.42</v>
      </c>
      <c r="U192" s="380">
        <v>0</v>
      </c>
      <c r="V192" s="380">
        <v>2199.15</v>
      </c>
      <c r="W192" s="380">
        <v>5004.4799999999996</v>
      </c>
      <c r="X192" s="380">
        <v>2290.85</v>
      </c>
      <c r="Y192" s="380">
        <v>5004.4799999999996</v>
      </c>
      <c r="Z192" s="380">
        <v>2266.33</v>
      </c>
      <c r="AA192" s="376" t="s">
        <v>233</v>
      </c>
      <c r="AB192" s="376" t="s">
        <v>234</v>
      </c>
      <c r="AC192" s="376" t="s">
        <v>235</v>
      </c>
      <c r="AD192" s="376" t="s">
        <v>236</v>
      </c>
      <c r="AE192" s="376" t="s">
        <v>232</v>
      </c>
      <c r="AF192" s="376" t="s">
        <v>193</v>
      </c>
      <c r="AG192" s="376" t="s">
        <v>178</v>
      </c>
      <c r="AH192" s="381">
        <v>24.06</v>
      </c>
      <c r="AI192" s="379">
        <v>17727</v>
      </c>
      <c r="AJ192" s="376" t="s">
        <v>179</v>
      </c>
      <c r="AK192" s="376" t="s">
        <v>180</v>
      </c>
      <c r="AL192" s="376" t="s">
        <v>181</v>
      </c>
      <c r="AM192" s="376" t="s">
        <v>182</v>
      </c>
      <c r="AN192" s="376" t="s">
        <v>68</v>
      </c>
      <c r="AO192" s="379">
        <v>80</v>
      </c>
      <c r="AP192" s="385">
        <v>1</v>
      </c>
      <c r="AQ192" s="385">
        <v>0.1</v>
      </c>
      <c r="AR192" s="383" t="s">
        <v>183</v>
      </c>
      <c r="AS192" s="387">
        <f t="shared" si="115"/>
        <v>0.1</v>
      </c>
      <c r="AT192">
        <f t="shared" si="116"/>
        <v>1</v>
      </c>
      <c r="AU192" s="387">
        <f>IF(AT192=0,"",IF(AND(AT192=1,M192="F",SUMIF(C2:C206,C192,AS2:AS206)&lt;=1),SUMIF(C2:C206,C192,AS2:AS206),IF(AND(AT192=1,M192="F",SUMIF(C2:C206,C192,AS2:AS206)&gt;1),1,"")))</f>
        <v>1</v>
      </c>
      <c r="AV192" s="387" t="str">
        <f>IF(AT192=0,"",IF(AND(AT192=3,M192="F",SUMIF(C2:C206,C192,AS2:AS206)&lt;=1),SUMIF(C2:C206,C192,AS2:AS206),IF(AND(AT192=3,M192="F",SUMIF(C2:C206,C192,AS2:AS206)&gt;1),1,"")))</f>
        <v/>
      </c>
      <c r="AW192" s="387">
        <f>SUMIF(C2:C206,C192,O2:O206)</f>
        <v>6</v>
      </c>
      <c r="AX192" s="387">
        <f>IF(AND(M192="F",AS192&lt;&gt;0),SUMIF(C2:C206,C192,W2:W206),0)</f>
        <v>50044.78</v>
      </c>
      <c r="AY192" s="387">
        <f t="shared" si="117"/>
        <v>5004.4799999999996</v>
      </c>
      <c r="AZ192" s="387" t="str">
        <f t="shared" si="118"/>
        <v/>
      </c>
      <c r="BA192" s="387">
        <f t="shared" si="119"/>
        <v>0</v>
      </c>
      <c r="BB192" s="387">
        <f t="shared" si="88"/>
        <v>1165</v>
      </c>
      <c r="BC192" s="387">
        <f t="shared" si="89"/>
        <v>0</v>
      </c>
      <c r="BD192" s="387">
        <f t="shared" si="90"/>
        <v>310.27775999999994</v>
      </c>
      <c r="BE192" s="387">
        <f t="shared" si="91"/>
        <v>72.564959999999999</v>
      </c>
      <c r="BF192" s="387">
        <f t="shared" si="92"/>
        <v>597.53491199999996</v>
      </c>
      <c r="BG192" s="387">
        <f t="shared" si="93"/>
        <v>36.082300799999999</v>
      </c>
      <c r="BH192" s="387">
        <f t="shared" si="94"/>
        <v>24.521951999999995</v>
      </c>
      <c r="BI192" s="387">
        <f t="shared" si="95"/>
        <v>15.313708799999997</v>
      </c>
      <c r="BJ192" s="387">
        <f t="shared" si="96"/>
        <v>69.562271999999993</v>
      </c>
      <c r="BK192" s="387">
        <f t="shared" si="97"/>
        <v>0</v>
      </c>
      <c r="BL192" s="387">
        <f t="shared" si="120"/>
        <v>1125.8578656</v>
      </c>
      <c r="BM192" s="387">
        <f t="shared" si="121"/>
        <v>0</v>
      </c>
      <c r="BN192" s="387">
        <f t="shared" si="98"/>
        <v>1165</v>
      </c>
      <c r="BO192" s="387">
        <f t="shared" si="99"/>
        <v>0</v>
      </c>
      <c r="BP192" s="387">
        <f t="shared" si="100"/>
        <v>310.27775999999994</v>
      </c>
      <c r="BQ192" s="387">
        <f t="shared" si="101"/>
        <v>72.564959999999999</v>
      </c>
      <c r="BR192" s="387">
        <f t="shared" si="102"/>
        <v>597.53491199999996</v>
      </c>
      <c r="BS192" s="387">
        <f t="shared" si="103"/>
        <v>36.082300799999999</v>
      </c>
      <c r="BT192" s="387">
        <f t="shared" si="104"/>
        <v>0</v>
      </c>
      <c r="BU192" s="387">
        <f t="shared" si="105"/>
        <v>15.313708799999997</v>
      </c>
      <c r="BV192" s="387">
        <f t="shared" si="106"/>
        <v>69.562271999999993</v>
      </c>
      <c r="BW192" s="387">
        <f t="shared" si="107"/>
        <v>0</v>
      </c>
      <c r="BX192" s="387">
        <f t="shared" si="122"/>
        <v>1101.3359135999999</v>
      </c>
      <c r="BY192" s="387">
        <f t="shared" si="123"/>
        <v>0</v>
      </c>
      <c r="BZ192" s="387">
        <f t="shared" si="124"/>
        <v>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0</v>
      </c>
      <c r="CE192" s="387">
        <f t="shared" si="110"/>
        <v>0</v>
      </c>
      <c r="CF192" s="387">
        <f t="shared" si="111"/>
        <v>-24.521951999999995</v>
      </c>
      <c r="CG192" s="387">
        <f t="shared" si="112"/>
        <v>0</v>
      </c>
      <c r="CH192" s="387">
        <f t="shared" si="113"/>
        <v>0</v>
      </c>
      <c r="CI192" s="387">
        <f t="shared" si="114"/>
        <v>0</v>
      </c>
      <c r="CJ192" s="387">
        <f t="shared" si="127"/>
        <v>-24.521951999999995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0456-00</v>
      </c>
    </row>
    <row r="193" spans="1:92" ht="15.75" thickBot="1" x14ac:dyDescent="0.3">
      <c r="A193" s="376" t="s">
        <v>161</v>
      </c>
      <c r="B193" s="376" t="s">
        <v>162</v>
      </c>
      <c r="C193" s="376" t="s">
        <v>237</v>
      </c>
      <c r="D193" s="376" t="s">
        <v>164</v>
      </c>
      <c r="E193" s="376" t="s">
        <v>741</v>
      </c>
      <c r="F193" s="377" t="s">
        <v>166</v>
      </c>
      <c r="G193" s="376" t="s">
        <v>835</v>
      </c>
      <c r="H193" s="378"/>
      <c r="I193" s="378"/>
      <c r="J193" s="376" t="s">
        <v>168</v>
      </c>
      <c r="K193" s="376" t="s">
        <v>232</v>
      </c>
      <c r="L193" s="376" t="s">
        <v>188</v>
      </c>
      <c r="M193" s="376" t="s">
        <v>171</v>
      </c>
      <c r="N193" s="376" t="s">
        <v>172</v>
      </c>
      <c r="O193" s="379">
        <v>1</v>
      </c>
      <c r="P193" s="385">
        <v>0.1</v>
      </c>
      <c r="Q193" s="385">
        <v>0.1</v>
      </c>
      <c r="R193" s="380">
        <v>80</v>
      </c>
      <c r="S193" s="385">
        <v>0.1</v>
      </c>
      <c r="T193" s="380">
        <v>4794.71</v>
      </c>
      <c r="U193" s="380">
        <v>0</v>
      </c>
      <c r="V193" s="380">
        <v>2033.78</v>
      </c>
      <c r="W193" s="380">
        <v>5368.48</v>
      </c>
      <c r="X193" s="380">
        <v>2372.7399999999998</v>
      </c>
      <c r="Y193" s="380">
        <v>5368.48</v>
      </c>
      <c r="Z193" s="380">
        <v>2346.4299999999998</v>
      </c>
      <c r="AA193" s="376" t="s">
        <v>238</v>
      </c>
      <c r="AB193" s="376" t="s">
        <v>239</v>
      </c>
      <c r="AC193" s="376" t="s">
        <v>240</v>
      </c>
      <c r="AD193" s="376" t="s">
        <v>170</v>
      </c>
      <c r="AE193" s="376" t="s">
        <v>232</v>
      </c>
      <c r="AF193" s="376" t="s">
        <v>193</v>
      </c>
      <c r="AG193" s="376" t="s">
        <v>178</v>
      </c>
      <c r="AH193" s="381">
        <v>25.81</v>
      </c>
      <c r="AI193" s="379">
        <v>62513</v>
      </c>
      <c r="AJ193" s="376" t="s">
        <v>179</v>
      </c>
      <c r="AK193" s="376" t="s">
        <v>180</v>
      </c>
      <c r="AL193" s="376" t="s">
        <v>181</v>
      </c>
      <c r="AM193" s="376" t="s">
        <v>182</v>
      </c>
      <c r="AN193" s="376" t="s">
        <v>68</v>
      </c>
      <c r="AO193" s="379">
        <v>80</v>
      </c>
      <c r="AP193" s="385">
        <v>1</v>
      </c>
      <c r="AQ193" s="385">
        <v>0.1</v>
      </c>
      <c r="AR193" s="383" t="s">
        <v>183</v>
      </c>
      <c r="AS193" s="387">
        <f t="shared" si="115"/>
        <v>0.1</v>
      </c>
      <c r="AT193">
        <f t="shared" si="116"/>
        <v>1</v>
      </c>
      <c r="AU193" s="387">
        <f>IF(AT193=0,"",IF(AND(AT193=1,M193="F",SUMIF(C2:C206,C193,AS2:AS206)&lt;=1),SUMIF(C2:C206,C193,AS2:AS206),IF(AND(AT193=1,M193="F",SUMIF(C2:C206,C193,AS2:AS206)&gt;1),1,"")))</f>
        <v>1</v>
      </c>
      <c r="AV193" s="387" t="str">
        <f>IF(AT193=0,"",IF(AND(AT193=3,M193="F",SUMIF(C2:C206,C193,AS2:AS206)&lt;=1),SUMIF(C2:C206,C193,AS2:AS206),IF(AND(AT193=3,M193="F",SUMIF(C2:C206,C193,AS2:AS206)&gt;1),1,"")))</f>
        <v/>
      </c>
      <c r="AW193" s="387">
        <f>SUMIF(C2:C206,C193,O2:O206)</f>
        <v>4</v>
      </c>
      <c r="AX193" s="387">
        <f>IF(AND(M193="F",AS193&lt;&gt;0),SUMIF(C2:C206,C193,W2:W206),0)</f>
        <v>53684.799999999996</v>
      </c>
      <c r="AY193" s="387">
        <f t="shared" si="117"/>
        <v>5368.48</v>
      </c>
      <c r="AZ193" s="387" t="str">
        <f t="shared" si="118"/>
        <v/>
      </c>
      <c r="BA193" s="387">
        <f t="shared" si="119"/>
        <v>0</v>
      </c>
      <c r="BB193" s="387">
        <f t="shared" si="88"/>
        <v>1165</v>
      </c>
      <c r="BC193" s="387">
        <f t="shared" si="89"/>
        <v>0</v>
      </c>
      <c r="BD193" s="387">
        <f t="shared" si="90"/>
        <v>332.84575999999998</v>
      </c>
      <c r="BE193" s="387">
        <f t="shared" si="91"/>
        <v>77.842959999999991</v>
      </c>
      <c r="BF193" s="387">
        <f t="shared" si="92"/>
        <v>640.99651199999994</v>
      </c>
      <c r="BG193" s="387">
        <f t="shared" si="93"/>
        <v>38.706740799999999</v>
      </c>
      <c r="BH193" s="387">
        <f t="shared" si="94"/>
        <v>26.305551999999999</v>
      </c>
      <c r="BI193" s="387">
        <f t="shared" si="95"/>
        <v>16.427548799999997</v>
      </c>
      <c r="BJ193" s="387">
        <f t="shared" si="96"/>
        <v>74.621871999999996</v>
      </c>
      <c r="BK193" s="387">
        <f t="shared" si="97"/>
        <v>0</v>
      </c>
      <c r="BL193" s="387">
        <f t="shared" si="120"/>
        <v>1207.7469455999999</v>
      </c>
      <c r="BM193" s="387">
        <f t="shared" si="121"/>
        <v>0</v>
      </c>
      <c r="BN193" s="387">
        <f t="shared" si="98"/>
        <v>1165</v>
      </c>
      <c r="BO193" s="387">
        <f t="shared" si="99"/>
        <v>0</v>
      </c>
      <c r="BP193" s="387">
        <f t="shared" si="100"/>
        <v>332.84575999999998</v>
      </c>
      <c r="BQ193" s="387">
        <f t="shared" si="101"/>
        <v>77.842959999999991</v>
      </c>
      <c r="BR193" s="387">
        <f t="shared" si="102"/>
        <v>640.99651199999994</v>
      </c>
      <c r="BS193" s="387">
        <f t="shared" si="103"/>
        <v>38.706740799999999</v>
      </c>
      <c r="BT193" s="387">
        <f t="shared" si="104"/>
        <v>0</v>
      </c>
      <c r="BU193" s="387">
        <f t="shared" si="105"/>
        <v>16.427548799999997</v>
      </c>
      <c r="BV193" s="387">
        <f t="shared" si="106"/>
        <v>74.621871999999996</v>
      </c>
      <c r="BW193" s="387">
        <f t="shared" si="107"/>
        <v>0</v>
      </c>
      <c r="BX193" s="387">
        <f t="shared" si="122"/>
        <v>1181.4413935999999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-26.305551999999999</v>
      </c>
      <c r="CG193" s="387">
        <f t="shared" si="112"/>
        <v>0</v>
      </c>
      <c r="CH193" s="387">
        <f t="shared" si="113"/>
        <v>0</v>
      </c>
      <c r="CI193" s="387">
        <f t="shared" si="114"/>
        <v>0</v>
      </c>
      <c r="CJ193" s="387">
        <f t="shared" si="127"/>
        <v>-26.305551999999999</v>
      </c>
      <c r="CK193" s="387" t="str">
        <f t="shared" si="128"/>
        <v/>
      </c>
      <c r="CL193" s="387" t="str">
        <f t="shared" si="129"/>
        <v/>
      </c>
      <c r="CM193" s="387" t="str">
        <f t="shared" si="130"/>
        <v/>
      </c>
      <c r="CN193" s="387" t="str">
        <f t="shared" si="131"/>
        <v>0456-00</v>
      </c>
    </row>
    <row r="194" spans="1:92" ht="15.75" thickBot="1" x14ac:dyDescent="0.3">
      <c r="A194" s="376" t="s">
        <v>161</v>
      </c>
      <c r="B194" s="376" t="s">
        <v>162</v>
      </c>
      <c r="C194" s="376" t="s">
        <v>204</v>
      </c>
      <c r="D194" s="376" t="s">
        <v>205</v>
      </c>
      <c r="E194" s="376" t="s">
        <v>755</v>
      </c>
      <c r="F194" s="377" t="s">
        <v>166</v>
      </c>
      <c r="G194" s="376" t="s">
        <v>835</v>
      </c>
      <c r="H194" s="378"/>
      <c r="I194" s="378"/>
      <c r="J194" s="376" t="s">
        <v>196</v>
      </c>
      <c r="K194" s="376" t="s">
        <v>206</v>
      </c>
      <c r="L194" s="376" t="s">
        <v>166</v>
      </c>
      <c r="M194" s="376" t="s">
        <v>207</v>
      </c>
      <c r="N194" s="376" t="s">
        <v>208</v>
      </c>
      <c r="O194" s="379">
        <v>0</v>
      </c>
      <c r="P194" s="385">
        <v>0.05</v>
      </c>
      <c r="Q194" s="385">
        <v>0</v>
      </c>
      <c r="R194" s="380">
        <v>0</v>
      </c>
      <c r="S194" s="385">
        <v>0</v>
      </c>
      <c r="T194" s="380">
        <v>0</v>
      </c>
      <c r="U194" s="380">
        <v>0</v>
      </c>
      <c r="V194" s="380">
        <v>0</v>
      </c>
      <c r="W194" s="380">
        <v>0</v>
      </c>
      <c r="X194" s="380">
        <v>0</v>
      </c>
      <c r="Y194" s="380">
        <v>0</v>
      </c>
      <c r="Z194" s="380">
        <v>0</v>
      </c>
      <c r="AA194" s="378"/>
      <c r="AB194" s="376" t="s">
        <v>45</v>
      </c>
      <c r="AC194" s="376" t="s">
        <v>45</v>
      </c>
      <c r="AD194" s="378"/>
      <c r="AE194" s="378"/>
      <c r="AF194" s="378"/>
      <c r="AG194" s="378"/>
      <c r="AH194" s="379">
        <v>0</v>
      </c>
      <c r="AI194" s="379">
        <v>0</v>
      </c>
      <c r="AJ194" s="378"/>
      <c r="AK194" s="378"/>
      <c r="AL194" s="376" t="s">
        <v>181</v>
      </c>
      <c r="AM194" s="378"/>
      <c r="AN194" s="378"/>
      <c r="AO194" s="379">
        <v>0</v>
      </c>
      <c r="AP194" s="385">
        <v>0</v>
      </c>
      <c r="AQ194" s="385">
        <v>0</v>
      </c>
      <c r="AR194" s="384"/>
      <c r="AS194" s="387">
        <f t="shared" si="115"/>
        <v>0</v>
      </c>
      <c r="AT194">
        <f t="shared" si="116"/>
        <v>0</v>
      </c>
      <c r="AU194" s="387" t="str">
        <f>IF(AT194=0,"",IF(AND(AT194=1,M194="F",SUMIF(C2:C206,C194,AS2:AS206)&lt;=1),SUMIF(C2:C206,C194,AS2:AS206),IF(AND(AT194=1,M194="F",SUMIF(C2:C206,C194,AS2:AS206)&gt;1),1,"")))</f>
        <v/>
      </c>
      <c r="AV194" s="387" t="str">
        <f>IF(AT194=0,"",IF(AND(AT194=3,M194="F",SUMIF(C2:C206,C194,AS2:AS206)&lt;=1),SUMIF(C2:C206,C194,AS2:AS206),IF(AND(AT194=3,M194="F",SUMIF(C2:C206,C194,AS2:AS206)&gt;1),1,"")))</f>
        <v/>
      </c>
      <c r="AW194" s="387">
        <f>SUMIF(C2:C206,C194,O2:O206)</f>
        <v>0</v>
      </c>
      <c r="AX194" s="387">
        <f>IF(AND(M194="F",AS194&lt;&gt;0),SUMIF(C2:C206,C194,W2:W206),0)</f>
        <v>0</v>
      </c>
      <c r="AY194" s="387" t="str">
        <f t="shared" si="117"/>
        <v/>
      </c>
      <c r="AZ194" s="387" t="str">
        <f t="shared" si="118"/>
        <v/>
      </c>
      <c r="BA194" s="387">
        <f t="shared" si="119"/>
        <v>0</v>
      </c>
      <c r="BB194" s="387">
        <f t="shared" ref="BB194:BB206" si="132">IF(AND(AT194=1,AK194="E",AU194&gt;=0.75,AW194=1),Health,IF(AND(AT194=1,AK194="E",AU194&gt;=0.75),Health*P194,IF(AND(AT194=1,AK194="E",AU194&gt;=0.5,AW194=1),PTHealth,IF(AND(AT194=1,AK194="E",AU194&gt;=0.5),PTHealth*P194,0))))</f>
        <v>0</v>
      </c>
      <c r="BC194" s="387">
        <f t="shared" ref="BC194:BC206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06" si="134">IF(AND(AT194&lt;&gt;0,AX194&gt;=MAXSSDI),SSDI*MAXSSDI*P194,IF(AT194&lt;&gt;0,SSDI*W194,0))</f>
        <v>0</v>
      </c>
      <c r="BE194" s="387">
        <f t="shared" ref="BE194:BE206" si="135">IF(AT194&lt;&gt;0,SSHI*W194,0)</f>
        <v>0</v>
      </c>
      <c r="BF194" s="387">
        <f t="shared" ref="BF194:BF206" si="136">IF(AND(AT194&lt;&gt;0,AN194&lt;&gt;"NE"),VLOOKUP(AN194,Retirement_Rates,3,FALSE)*W194,0)</f>
        <v>0</v>
      </c>
      <c r="BG194" s="387">
        <f t="shared" ref="BG194:BG206" si="137">IF(AND(AT194&lt;&gt;0,AJ194&lt;&gt;"PF"),Life*W194,0)</f>
        <v>0</v>
      </c>
      <c r="BH194" s="387">
        <f t="shared" ref="BH194:BH206" si="138">IF(AND(AT194&lt;&gt;0,AM194="Y"),UI*W194,0)</f>
        <v>0</v>
      </c>
      <c r="BI194" s="387">
        <f t="shared" ref="BI194:BI206" si="139">IF(AND(AT194&lt;&gt;0,N194&lt;&gt;"NR"),DHR*W194,0)</f>
        <v>0</v>
      </c>
      <c r="BJ194" s="387">
        <f t="shared" ref="BJ194:BJ206" si="140">IF(AT194&lt;&gt;0,WC*W194,0)</f>
        <v>0</v>
      </c>
      <c r="BK194" s="387">
        <f t="shared" ref="BK194:BK206" si="141">IF(OR(AND(AT194&lt;&gt;0,AJ194&lt;&gt;"PF",AN194&lt;&gt;"NE",AG194&lt;&gt;"A"),AND(AL194="E",OR(AT194=1,AT194=3))),Sick*W194,0)</f>
        <v>0</v>
      </c>
      <c r="BL194" s="387">
        <f t="shared" si="120"/>
        <v>0</v>
      </c>
      <c r="BM194" s="387">
        <f t="shared" si="121"/>
        <v>0</v>
      </c>
      <c r="BN194" s="387">
        <f t="shared" ref="BN194:BN206" si="142">IF(AND(AT194=1,AK194="E",AU194&gt;=0.75,AW194=1),HealthBY,IF(AND(AT194=1,AK194="E",AU194&gt;=0.75),HealthBY*P194,IF(AND(AT194=1,AK194="E",AU194&gt;=0.5,AW194=1),PTHealthBY,IF(AND(AT194=1,AK194="E",AU194&gt;=0.5),PTHealthBY*P194,0))))</f>
        <v>0</v>
      </c>
      <c r="BO194" s="387">
        <f t="shared" ref="BO194:BO206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06" si="144">IF(AND(AT194&lt;&gt;0,(AX194+BA194)&gt;=MAXSSDIBY),SSDIBY*MAXSSDIBY*P194,IF(AT194&lt;&gt;0,SSDIBY*W194,0))</f>
        <v>0</v>
      </c>
      <c r="BQ194" s="387">
        <f t="shared" ref="BQ194:BQ206" si="145">IF(AT194&lt;&gt;0,SSHIBY*W194,0)</f>
        <v>0</v>
      </c>
      <c r="BR194" s="387">
        <f t="shared" ref="BR194:BR206" si="146">IF(AND(AT194&lt;&gt;0,AN194&lt;&gt;"NE"),VLOOKUP(AN194,Retirement_Rates,4,FALSE)*W194,0)</f>
        <v>0</v>
      </c>
      <c r="BS194" s="387">
        <f t="shared" ref="BS194:BS206" si="147">IF(AND(AT194&lt;&gt;0,AJ194&lt;&gt;"PF"),LifeBY*W194,0)</f>
        <v>0</v>
      </c>
      <c r="BT194" s="387">
        <f t="shared" ref="BT194:BT206" si="148">IF(AND(AT194&lt;&gt;0,AM194="Y"),UIBY*W194,0)</f>
        <v>0</v>
      </c>
      <c r="BU194" s="387">
        <f t="shared" ref="BU194:BU206" si="149">IF(AND(AT194&lt;&gt;0,N194&lt;&gt;"NR"),DHRBY*W194,0)</f>
        <v>0</v>
      </c>
      <c r="BV194" s="387">
        <f t="shared" ref="BV194:BV206" si="150">IF(AT194&lt;&gt;0,WCBY*W194,0)</f>
        <v>0</v>
      </c>
      <c r="BW194" s="387">
        <f t="shared" ref="BW194:BW206" si="151">IF(OR(AND(AT194&lt;&gt;0,AJ194&lt;&gt;"PF",AN194&lt;&gt;"NE",AG194&lt;&gt;"A"),AND(AL194="E",OR(AT194=1,AT194=3))),SickBY*W194,0)</f>
        <v>0</v>
      </c>
      <c r="BX194" s="387">
        <f t="shared" si="122"/>
        <v>0</v>
      </c>
      <c r="BY194" s="387">
        <f t="shared" si="123"/>
        <v>0</v>
      </c>
      <c r="BZ194" s="387">
        <f t="shared" si="124"/>
        <v>0</v>
      </c>
      <c r="CA194" s="387">
        <f t="shared" si="125"/>
        <v>0</v>
      </c>
      <c r="CB194" s="387">
        <f t="shared" si="126"/>
        <v>0</v>
      </c>
      <c r="CC194" s="387">
        <f t="shared" ref="CC194:CC206" si="152">IF(AT194&lt;&gt;0,SSHICHG*Y194,0)</f>
        <v>0</v>
      </c>
      <c r="CD194" s="387">
        <f t="shared" ref="CD194:CD206" si="153">IF(AND(AT194&lt;&gt;0,AN194&lt;&gt;"NE"),VLOOKUP(AN194,Retirement_Rates,5,FALSE)*Y194,0)</f>
        <v>0</v>
      </c>
      <c r="CE194" s="387">
        <f t="shared" ref="CE194:CE206" si="154">IF(AND(AT194&lt;&gt;0,AJ194&lt;&gt;"PF"),LifeCHG*Y194,0)</f>
        <v>0</v>
      </c>
      <c r="CF194" s="387">
        <f t="shared" ref="CF194:CF206" si="155">IF(AND(AT194&lt;&gt;0,AM194="Y"),UICHG*Y194,0)</f>
        <v>0</v>
      </c>
      <c r="CG194" s="387">
        <f t="shared" ref="CG194:CG206" si="156">IF(AND(AT194&lt;&gt;0,N194&lt;&gt;"NR"),DHRCHG*Y194,0)</f>
        <v>0</v>
      </c>
      <c r="CH194" s="387">
        <f t="shared" ref="CH194:CH206" si="157">IF(AT194&lt;&gt;0,WCCHG*Y194,0)</f>
        <v>0</v>
      </c>
      <c r="CI194" s="387">
        <f t="shared" ref="CI194:CI206" si="158">IF(OR(AND(AT194&lt;&gt;0,AJ194&lt;&gt;"PF",AN194&lt;&gt;"NE",AG194&lt;&gt;"A"),AND(AL194="E",OR(AT194=1,AT194=3))),SickCHG*Y194,0)</f>
        <v>0</v>
      </c>
      <c r="CJ194" s="387">
        <f t="shared" si="127"/>
        <v>0</v>
      </c>
      <c r="CK194" s="387" t="str">
        <f t="shared" si="128"/>
        <v/>
      </c>
      <c r="CL194" s="387">
        <f t="shared" si="129"/>
        <v>0</v>
      </c>
      <c r="CM194" s="387">
        <f t="shared" si="130"/>
        <v>0</v>
      </c>
      <c r="CN194" s="387" t="str">
        <f t="shared" si="131"/>
        <v>0461-00</v>
      </c>
    </row>
    <row r="195" spans="1:92" ht="15.75" thickBot="1" x14ac:dyDescent="0.3">
      <c r="A195" s="376" t="s">
        <v>161</v>
      </c>
      <c r="B195" s="376" t="s">
        <v>162</v>
      </c>
      <c r="C195" s="376" t="s">
        <v>221</v>
      </c>
      <c r="D195" s="376" t="s">
        <v>222</v>
      </c>
      <c r="E195" s="376" t="s">
        <v>755</v>
      </c>
      <c r="F195" s="377" t="s">
        <v>166</v>
      </c>
      <c r="G195" s="376" t="s">
        <v>835</v>
      </c>
      <c r="H195" s="378"/>
      <c r="I195" s="378"/>
      <c r="J195" s="376" t="s">
        <v>219</v>
      </c>
      <c r="K195" s="376" t="s">
        <v>223</v>
      </c>
      <c r="L195" s="376" t="s">
        <v>224</v>
      </c>
      <c r="M195" s="376" t="s">
        <v>171</v>
      </c>
      <c r="N195" s="376" t="s">
        <v>172</v>
      </c>
      <c r="O195" s="379">
        <v>1</v>
      </c>
      <c r="P195" s="385">
        <v>0.05</v>
      </c>
      <c r="Q195" s="385">
        <v>0.05</v>
      </c>
      <c r="R195" s="380">
        <v>80</v>
      </c>
      <c r="S195" s="385">
        <v>0.05</v>
      </c>
      <c r="T195" s="380">
        <v>4306.42</v>
      </c>
      <c r="U195" s="380">
        <v>0</v>
      </c>
      <c r="V195" s="380">
        <v>1458.71</v>
      </c>
      <c r="W195" s="380">
        <v>4353.4399999999996</v>
      </c>
      <c r="X195" s="380">
        <v>1561.89</v>
      </c>
      <c r="Y195" s="380">
        <v>4353.4399999999996</v>
      </c>
      <c r="Z195" s="380">
        <v>1540.56</v>
      </c>
      <c r="AA195" s="376" t="s">
        <v>225</v>
      </c>
      <c r="AB195" s="376" t="s">
        <v>226</v>
      </c>
      <c r="AC195" s="376" t="s">
        <v>227</v>
      </c>
      <c r="AD195" s="376" t="s">
        <v>228</v>
      </c>
      <c r="AE195" s="376" t="s">
        <v>223</v>
      </c>
      <c r="AF195" s="376" t="s">
        <v>229</v>
      </c>
      <c r="AG195" s="376" t="s">
        <v>178</v>
      </c>
      <c r="AH195" s="381">
        <v>41.86</v>
      </c>
      <c r="AI195" s="381">
        <v>25678.7</v>
      </c>
      <c r="AJ195" s="376" t="s">
        <v>179</v>
      </c>
      <c r="AK195" s="376" t="s">
        <v>180</v>
      </c>
      <c r="AL195" s="376" t="s">
        <v>181</v>
      </c>
      <c r="AM195" s="376" t="s">
        <v>182</v>
      </c>
      <c r="AN195" s="376" t="s">
        <v>68</v>
      </c>
      <c r="AO195" s="379">
        <v>80</v>
      </c>
      <c r="AP195" s="385">
        <v>1</v>
      </c>
      <c r="AQ195" s="385">
        <v>0.05</v>
      </c>
      <c r="AR195" s="383" t="s">
        <v>183</v>
      </c>
      <c r="AS195" s="387">
        <f t="shared" ref="AS195:AS206" si="159">IF(((AO195/80)*AP195*P195)&gt;1,AQ195,((AO195/80)*AP195*P195))</f>
        <v>0.05</v>
      </c>
      <c r="AT195">
        <f t="shared" ref="AT195:AT206" si="160">IF(AND(M195="F",N195&lt;&gt;"NG",AS195&lt;&gt;0,AND(AR195&lt;&gt;6,AR195&lt;&gt;36,AR195&lt;&gt;56),AG195&lt;&gt;"A",OR(AG195="H",AJ195="FS")),1,IF(AND(M195="F",N195&lt;&gt;"NG",AS195&lt;&gt;0,AG195="A"),3,0))</f>
        <v>1</v>
      </c>
      <c r="AU195" s="387">
        <f>IF(AT195=0,"",IF(AND(AT195=1,M195="F",SUMIF(C2:C206,C195,AS2:AS206)&lt;=1),SUMIF(C2:C206,C195,AS2:AS206),IF(AND(AT195=1,M195="F",SUMIF(C2:C206,C195,AS2:AS206)&gt;1),1,"")))</f>
        <v>1</v>
      </c>
      <c r="AV195" s="387" t="str">
        <f>IF(AT195=0,"",IF(AND(AT195=3,M195="F",SUMIF(C2:C206,C195,AS2:AS206)&lt;=1),SUMIF(C2:C206,C195,AS2:AS206),IF(AND(AT195=3,M195="F",SUMIF(C2:C206,C195,AS2:AS206)&gt;1),1,"")))</f>
        <v/>
      </c>
      <c r="AW195" s="387">
        <f>SUMIF(C2:C206,C195,O2:O206)</f>
        <v>5</v>
      </c>
      <c r="AX195" s="387">
        <f>IF(AND(M195="F",AS195&lt;&gt;0),SUMIF(C2:C206,C195,W2:W206),0)</f>
        <v>87068.78</v>
      </c>
      <c r="AY195" s="387">
        <f t="shared" ref="AY195:AY206" si="161">IF(AT195=1,W195,"")</f>
        <v>4353.4399999999996</v>
      </c>
      <c r="AZ195" s="387" t="str">
        <f t="shared" ref="AZ195:AZ206" si="162">IF(AT195=3,W195,"")</f>
        <v/>
      </c>
      <c r="BA195" s="387">
        <f t="shared" ref="BA195:BA206" si="163">IF(AT195=1,Y195-W195,0)</f>
        <v>0</v>
      </c>
      <c r="BB195" s="387">
        <f t="shared" si="132"/>
        <v>582.5</v>
      </c>
      <c r="BC195" s="387">
        <f t="shared" si="133"/>
        <v>0</v>
      </c>
      <c r="BD195" s="387">
        <f t="shared" si="134"/>
        <v>269.91327999999999</v>
      </c>
      <c r="BE195" s="387">
        <f t="shared" si="135"/>
        <v>63.124879999999997</v>
      </c>
      <c r="BF195" s="387">
        <f t="shared" si="136"/>
        <v>519.80073600000003</v>
      </c>
      <c r="BG195" s="387">
        <f t="shared" si="137"/>
        <v>31.388302399999997</v>
      </c>
      <c r="BH195" s="387">
        <f t="shared" si="138"/>
        <v>21.331855999999998</v>
      </c>
      <c r="BI195" s="387">
        <f t="shared" si="139"/>
        <v>13.321526399999998</v>
      </c>
      <c r="BJ195" s="387">
        <f t="shared" si="140"/>
        <v>60.512815999999994</v>
      </c>
      <c r="BK195" s="387">
        <f t="shared" si="141"/>
        <v>0</v>
      </c>
      <c r="BL195" s="387">
        <f t="shared" ref="BL195:BL206" si="164">IF(AT195=1,SUM(BD195:BK195),0)</f>
        <v>979.39339680000012</v>
      </c>
      <c r="BM195" s="387">
        <f t="shared" ref="BM195:BM206" si="165">IF(AT195=3,SUM(BD195:BK195),0)</f>
        <v>0</v>
      </c>
      <c r="BN195" s="387">
        <f t="shared" si="142"/>
        <v>582.5</v>
      </c>
      <c r="BO195" s="387">
        <f t="shared" si="143"/>
        <v>0</v>
      </c>
      <c r="BP195" s="387">
        <f t="shared" si="144"/>
        <v>269.91327999999999</v>
      </c>
      <c r="BQ195" s="387">
        <f t="shared" si="145"/>
        <v>63.124879999999997</v>
      </c>
      <c r="BR195" s="387">
        <f t="shared" si="146"/>
        <v>519.80073600000003</v>
      </c>
      <c r="BS195" s="387">
        <f t="shared" si="147"/>
        <v>31.388302399999997</v>
      </c>
      <c r="BT195" s="387">
        <f t="shared" si="148"/>
        <v>0</v>
      </c>
      <c r="BU195" s="387">
        <f t="shared" si="149"/>
        <v>13.321526399999998</v>
      </c>
      <c r="BV195" s="387">
        <f t="shared" si="150"/>
        <v>60.512815999999994</v>
      </c>
      <c r="BW195" s="387">
        <f t="shared" si="151"/>
        <v>0</v>
      </c>
      <c r="BX195" s="387">
        <f t="shared" ref="BX195:BX206" si="166">IF(AT195=1,SUM(BP195:BW195),0)</f>
        <v>958.0615408000001</v>
      </c>
      <c r="BY195" s="387">
        <f t="shared" ref="BY195:BY206" si="167">IF(AT195=3,SUM(BP195:BW195),0)</f>
        <v>0</v>
      </c>
      <c r="BZ195" s="387">
        <f t="shared" ref="BZ195:BZ206" si="168">IF(AT195=1,BN195-BB195,0)</f>
        <v>0</v>
      </c>
      <c r="CA195" s="387">
        <f t="shared" ref="CA195:CA206" si="169">IF(AT195=3,BO195-BC195,0)</f>
        <v>0</v>
      </c>
      <c r="CB195" s="387">
        <f t="shared" ref="CB195:CB206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-21.331855999999998</v>
      </c>
      <c r="CG195" s="387">
        <f t="shared" si="156"/>
        <v>0</v>
      </c>
      <c r="CH195" s="387">
        <f t="shared" si="157"/>
        <v>0</v>
      </c>
      <c r="CI195" s="387">
        <f t="shared" si="158"/>
        <v>0</v>
      </c>
      <c r="CJ195" s="387">
        <f t="shared" ref="CJ195:CJ206" si="171">IF(AT195=1,SUM(CB195:CI195),0)</f>
        <v>-21.331855999999998</v>
      </c>
      <c r="CK195" s="387" t="str">
        <f t="shared" ref="CK195:CK206" si="172">IF(AT195=3,SUM(CB195:CI195),"")</f>
        <v/>
      </c>
      <c r="CL195" s="387" t="str">
        <f t="shared" ref="CL195:CL206" si="173">IF(OR(N195="NG",AG195="D"),(T195+U195),"")</f>
        <v/>
      </c>
      <c r="CM195" s="387" t="str">
        <f t="shared" ref="CM195:CM206" si="174">IF(OR(N195="NG",AG195="D"),V195,"")</f>
        <v/>
      </c>
      <c r="CN195" s="387" t="str">
        <f t="shared" ref="CN195:CN206" si="175">E195 &amp; "-" &amp; F195</f>
        <v>0461-00</v>
      </c>
    </row>
    <row r="196" spans="1:92" ht="15.75" thickBot="1" x14ac:dyDescent="0.3">
      <c r="A196" s="376" t="s">
        <v>161</v>
      </c>
      <c r="B196" s="376" t="s">
        <v>162</v>
      </c>
      <c r="C196" s="376" t="s">
        <v>230</v>
      </c>
      <c r="D196" s="376" t="s">
        <v>164</v>
      </c>
      <c r="E196" s="376" t="s">
        <v>755</v>
      </c>
      <c r="F196" s="377" t="s">
        <v>166</v>
      </c>
      <c r="G196" s="376" t="s">
        <v>835</v>
      </c>
      <c r="H196" s="378"/>
      <c r="I196" s="378"/>
      <c r="J196" s="376" t="s">
        <v>231</v>
      </c>
      <c r="K196" s="376" t="s">
        <v>232</v>
      </c>
      <c r="L196" s="376" t="s">
        <v>188</v>
      </c>
      <c r="M196" s="376" t="s">
        <v>171</v>
      </c>
      <c r="N196" s="376" t="s">
        <v>172</v>
      </c>
      <c r="O196" s="379">
        <v>1</v>
      </c>
      <c r="P196" s="385">
        <v>7.0000000000000007E-2</v>
      </c>
      <c r="Q196" s="385">
        <v>7.0000000000000007E-2</v>
      </c>
      <c r="R196" s="380">
        <v>80</v>
      </c>
      <c r="S196" s="385">
        <v>7.0000000000000007E-2</v>
      </c>
      <c r="T196" s="380">
        <v>3515.58</v>
      </c>
      <c r="U196" s="380">
        <v>0</v>
      </c>
      <c r="V196" s="380">
        <v>1539.1</v>
      </c>
      <c r="W196" s="380">
        <v>3503.13</v>
      </c>
      <c r="X196" s="380">
        <v>1603.59</v>
      </c>
      <c r="Y196" s="380">
        <v>3503.13</v>
      </c>
      <c r="Z196" s="380">
        <v>1586.43</v>
      </c>
      <c r="AA196" s="376" t="s">
        <v>233</v>
      </c>
      <c r="AB196" s="376" t="s">
        <v>234</v>
      </c>
      <c r="AC196" s="376" t="s">
        <v>235</v>
      </c>
      <c r="AD196" s="376" t="s">
        <v>236</v>
      </c>
      <c r="AE196" s="376" t="s">
        <v>232</v>
      </c>
      <c r="AF196" s="376" t="s">
        <v>193</v>
      </c>
      <c r="AG196" s="376" t="s">
        <v>178</v>
      </c>
      <c r="AH196" s="381">
        <v>24.06</v>
      </c>
      <c r="AI196" s="379">
        <v>17727</v>
      </c>
      <c r="AJ196" s="376" t="s">
        <v>179</v>
      </c>
      <c r="AK196" s="376" t="s">
        <v>180</v>
      </c>
      <c r="AL196" s="376" t="s">
        <v>181</v>
      </c>
      <c r="AM196" s="376" t="s">
        <v>182</v>
      </c>
      <c r="AN196" s="376" t="s">
        <v>68</v>
      </c>
      <c r="AO196" s="379">
        <v>80</v>
      </c>
      <c r="AP196" s="385">
        <v>1</v>
      </c>
      <c r="AQ196" s="385">
        <v>7.0000000000000007E-2</v>
      </c>
      <c r="AR196" s="383" t="s">
        <v>183</v>
      </c>
      <c r="AS196" s="387">
        <f t="shared" si="159"/>
        <v>7.0000000000000007E-2</v>
      </c>
      <c r="AT196">
        <f t="shared" si="160"/>
        <v>1</v>
      </c>
      <c r="AU196" s="387">
        <f>IF(AT196=0,"",IF(AND(AT196=1,M196="F",SUMIF(C2:C206,C196,AS2:AS206)&lt;=1),SUMIF(C2:C206,C196,AS2:AS206),IF(AND(AT196=1,M196="F",SUMIF(C2:C206,C196,AS2:AS206)&gt;1),1,"")))</f>
        <v>1</v>
      </c>
      <c r="AV196" s="387" t="str">
        <f>IF(AT196=0,"",IF(AND(AT196=3,M196="F",SUMIF(C2:C206,C196,AS2:AS206)&lt;=1),SUMIF(C2:C206,C196,AS2:AS206),IF(AND(AT196=3,M196="F",SUMIF(C2:C206,C196,AS2:AS206)&gt;1),1,"")))</f>
        <v/>
      </c>
      <c r="AW196" s="387">
        <f>SUMIF(C2:C206,C196,O2:O206)</f>
        <v>6</v>
      </c>
      <c r="AX196" s="387">
        <f>IF(AND(M196="F",AS196&lt;&gt;0),SUMIF(C2:C206,C196,W2:W206),0)</f>
        <v>50044.78</v>
      </c>
      <c r="AY196" s="387">
        <f t="shared" si="161"/>
        <v>3503.13</v>
      </c>
      <c r="AZ196" s="387" t="str">
        <f t="shared" si="162"/>
        <v/>
      </c>
      <c r="BA196" s="387">
        <f t="shared" si="163"/>
        <v>0</v>
      </c>
      <c r="BB196" s="387">
        <f t="shared" si="132"/>
        <v>815.50000000000011</v>
      </c>
      <c r="BC196" s="387">
        <f t="shared" si="133"/>
        <v>0</v>
      </c>
      <c r="BD196" s="387">
        <f t="shared" si="134"/>
        <v>217.19406000000001</v>
      </c>
      <c r="BE196" s="387">
        <f t="shared" si="135"/>
        <v>50.795385000000003</v>
      </c>
      <c r="BF196" s="387">
        <f t="shared" si="136"/>
        <v>418.27372200000002</v>
      </c>
      <c r="BG196" s="387">
        <f t="shared" si="137"/>
        <v>25.257567300000002</v>
      </c>
      <c r="BH196" s="387">
        <f t="shared" si="138"/>
        <v>17.165337000000001</v>
      </c>
      <c r="BI196" s="387">
        <f t="shared" si="139"/>
        <v>10.7195778</v>
      </c>
      <c r="BJ196" s="387">
        <f t="shared" si="140"/>
        <v>48.693506999999997</v>
      </c>
      <c r="BK196" s="387">
        <f t="shared" si="141"/>
        <v>0</v>
      </c>
      <c r="BL196" s="387">
        <f t="shared" si="164"/>
        <v>788.09915610000007</v>
      </c>
      <c r="BM196" s="387">
        <f t="shared" si="165"/>
        <v>0</v>
      </c>
      <c r="BN196" s="387">
        <f t="shared" si="142"/>
        <v>815.50000000000011</v>
      </c>
      <c r="BO196" s="387">
        <f t="shared" si="143"/>
        <v>0</v>
      </c>
      <c r="BP196" s="387">
        <f t="shared" si="144"/>
        <v>217.19406000000001</v>
      </c>
      <c r="BQ196" s="387">
        <f t="shared" si="145"/>
        <v>50.795385000000003</v>
      </c>
      <c r="BR196" s="387">
        <f t="shared" si="146"/>
        <v>418.27372200000002</v>
      </c>
      <c r="BS196" s="387">
        <f t="shared" si="147"/>
        <v>25.257567300000002</v>
      </c>
      <c r="BT196" s="387">
        <f t="shared" si="148"/>
        <v>0</v>
      </c>
      <c r="BU196" s="387">
        <f t="shared" si="149"/>
        <v>10.7195778</v>
      </c>
      <c r="BV196" s="387">
        <f t="shared" si="150"/>
        <v>48.693506999999997</v>
      </c>
      <c r="BW196" s="387">
        <f t="shared" si="151"/>
        <v>0</v>
      </c>
      <c r="BX196" s="387">
        <f t="shared" si="166"/>
        <v>770.93381910000005</v>
      </c>
      <c r="BY196" s="387">
        <f t="shared" si="167"/>
        <v>0</v>
      </c>
      <c r="BZ196" s="387">
        <f t="shared" si="168"/>
        <v>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0</v>
      </c>
      <c r="CE196" s="387">
        <f t="shared" si="154"/>
        <v>0</v>
      </c>
      <c r="CF196" s="387">
        <f t="shared" si="155"/>
        <v>-17.165337000000001</v>
      </c>
      <c r="CG196" s="387">
        <f t="shared" si="156"/>
        <v>0</v>
      </c>
      <c r="CH196" s="387">
        <f t="shared" si="157"/>
        <v>0</v>
      </c>
      <c r="CI196" s="387">
        <f t="shared" si="158"/>
        <v>0</v>
      </c>
      <c r="CJ196" s="387">
        <f t="shared" si="171"/>
        <v>-17.165337000000001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0461-00</v>
      </c>
    </row>
    <row r="197" spans="1:92" ht="15.75" thickBot="1" x14ac:dyDescent="0.3">
      <c r="A197" s="376" t="s">
        <v>161</v>
      </c>
      <c r="B197" s="376" t="s">
        <v>162</v>
      </c>
      <c r="C197" s="376" t="s">
        <v>237</v>
      </c>
      <c r="D197" s="376" t="s">
        <v>164</v>
      </c>
      <c r="E197" s="376" t="s">
        <v>755</v>
      </c>
      <c r="F197" s="377" t="s">
        <v>166</v>
      </c>
      <c r="G197" s="376" t="s">
        <v>835</v>
      </c>
      <c r="H197" s="378"/>
      <c r="I197" s="378"/>
      <c r="J197" s="376" t="s">
        <v>168</v>
      </c>
      <c r="K197" s="376" t="s">
        <v>232</v>
      </c>
      <c r="L197" s="376" t="s">
        <v>188</v>
      </c>
      <c r="M197" s="376" t="s">
        <v>171</v>
      </c>
      <c r="N197" s="376" t="s">
        <v>172</v>
      </c>
      <c r="O197" s="379">
        <v>1</v>
      </c>
      <c r="P197" s="385">
        <v>0.35</v>
      </c>
      <c r="Q197" s="385">
        <v>0.35</v>
      </c>
      <c r="R197" s="380">
        <v>80</v>
      </c>
      <c r="S197" s="385">
        <v>0.35</v>
      </c>
      <c r="T197" s="380">
        <v>16781.46</v>
      </c>
      <c r="U197" s="380">
        <v>0</v>
      </c>
      <c r="V197" s="380">
        <v>7117.2</v>
      </c>
      <c r="W197" s="380">
        <v>18789.68</v>
      </c>
      <c r="X197" s="380">
        <v>8304.59</v>
      </c>
      <c r="Y197" s="380">
        <v>18789.68</v>
      </c>
      <c r="Z197" s="380">
        <v>8212.52</v>
      </c>
      <c r="AA197" s="376" t="s">
        <v>238</v>
      </c>
      <c r="AB197" s="376" t="s">
        <v>239</v>
      </c>
      <c r="AC197" s="376" t="s">
        <v>240</v>
      </c>
      <c r="AD197" s="376" t="s">
        <v>170</v>
      </c>
      <c r="AE197" s="376" t="s">
        <v>232</v>
      </c>
      <c r="AF197" s="376" t="s">
        <v>193</v>
      </c>
      <c r="AG197" s="376" t="s">
        <v>178</v>
      </c>
      <c r="AH197" s="381">
        <v>25.81</v>
      </c>
      <c r="AI197" s="379">
        <v>62513</v>
      </c>
      <c r="AJ197" s="376" t="s">
        <v>179</v>
      </c>
      <c r="AK197" s="376" t="s">
        <v>180</v>
      </c>
      <c r="AL197" s="376" t="s">
        <v>181</v>
      </c>
      <c r="AM197" s="376" t="s">
        <v>182</v>
      </c>
      <c r="AN197" s="376" t="s">
        <v>68</v>
      </c>
      <c r="AO197" s="379">
        <v>80</v>
      </c>
      <c r="AP197" s="385">
        <v>1</v>
      </c>
      <c r="AQ197" s="385">
        <v>0.35</v>
      </c>
      <c r="AR197" s="383" t="s">
        <v>183</v>
      </c>
      <c r="AS197" s="387">
        <f t="shared" si="159"/>
        <v>0.35</v>
      </c>
      <c r="AT197">
        <f t="shared" si="160"/>
        <v>1</v>
      </c>
      <c r="AU197" s="387">
        <f>IF(AT197=0,"",IF(AND(AT197=1,M197="F",SUMIF(C2:C206,C197,AS2:AS206)&lt;=1),SUMIF(C2:C206,C197,AS2:AS206),IF(AND(AT197=1,M197="F",SUMIF(C2:C206,C197,AS2:AS206)&gt;1),1,"")))</f>
        <v>1</v>
      </c>
      <c r="AV197" s="387" t="str">
        <f>IF(AT197=0,"",IF(AND(AT197=3,M197="F",SUMIF(C2:C206,C197,AS2:AS206)&lt;=1),SUMIF(C2:C206,C197,AS2:AS206),IF(AND(AT197=3,M197="F",SUMIF(C2:C206,C197,AS2:AS206)&gt;1),1,"")))</f>
        <v/>
      </c>
      <c r="AW197" s="387">
        <f>SUMIF(C2:C206,C197,O2:O206)</f>
        <v>4</v>
      </c>
      <c r="AX197" s="387">
        <f>IF(AND(M197="F",AS197&lt;&gt;0),SUMIF(C2:C206,C197,W2:W206),0)</f>
        <v>53684.799999999996</v>
      </c>
      <c r="AY197" s="387">
        <f t="shared" si="161"/>
        <v>18789.68</v>
      </c>
      <c r="AZ197" s="387" t="str">
        <f t="shared" si="162"/>
        <v/>
      </c>
      <c r="BA197" s="387">
        <f t="shared" si="163"/>
        <v>0</v>
      </c>
      <c r="BB197" s="387">
        <f t="shared" si="132"/>
        <v>4077.4999999999995</v>
      </c>
      <c r="BC197" s="387">
        <f t="shared" si="133"/>
        <v>0</v>
      </c>
      <c r="BD197" s="387">
        <f t="shared" si="134"/>
        <v>1164.9601600000001</v>
      </c>
      <c r="BE197" s="387">
        <f t="shared" si="135"/>
        <v>272.45036000000005</v>
      </c>
      <c r="BF197" s="387">
        <f t="shared" si="136"/>
        <v>2243.4877920000004</v>
      </c>
      <c r="BG197" s="387">
        <f t="shared" si="137"/>
        <v>135.47359280000001</v>
      </c>
      <c r="BH197" s="387">
        <f t="shared" si="138"/>
        <v>92.069431999999992</v>
      </c>
      <c r="BI197" s="387">
        <f t="shared" si="139"/>
        <v>57.496420799999996</v>
      </c>
      <c r="BJ197" s="387">
        <f t="shared" si="140"/>
        <v>261.17655200000002</v>
      </c>
      <c r="BK197" s="387">
        <f t="shared" si="141"/>
        <v>0</v>
      </c>
      <c r="BL197" s="387">
        <f t="shared" si="164"/>
        <v>4227.1143096000005</v>
      </c>
      <c r="BM197" s="387">
        <f t="shared" si="165"/>
        <v>0</v>
      </c>
      <c r="BN197" s="387">
        <f t="shared" si="142"/>
        <v>4077.4999999999995</v>
      </c>
      <c r="BO197" s="387">
        <f t="shared" si="143"/>
        <v>0</v>
      </c>
      <c r="BP197" s="387">
        <f t="shared" si="144"/>
        <v>1164.9601600000001</v>
      </c>
      <c r="BQ197" s="387">
        <f t="shared" si="145"/>
        <v>272.45036000000005</v>
      </c>
      <c r="BR197" s="387">
        <f t="shared" si="146"/>
        <v>2243.4877920000004</v>
      </c>
      <c r="BS197" s="387">
        <f t="shared" si="147"/>
        <v>135.47359280000001</v>
      </c>
      <c r="BT197" s="387">
        <f t="shared" si="148"/>
        <v>0</v>
      </c>
      <c r="BU197" s="387">
        <f t="shared" si="149"/>
        <v>57.496420799999996</v>
      </c>
      <c r="BV197" s="387">
        <f t="shared" si="150"/>
        <v>261.17655200000002</v>
      </c>
      <c r="BW197" s="387">
        <f t="shared" si="151"/>
        <v>0</v>
      </c>
      <c r="BX197" s="387">
        <f t="shared" si="166"/>
        <v>4135.0448776000003</v>
      </c>
      <c r="BY197" s="387">
        <f t="shared" si="167"/>
        <v>0</v>
      </c>
      <c r="BZ197" s="387">
        <f t="shared" si="168"/>
        <v>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0</v>
      </c>
      <c r="CE197" s="387">
        <f t="shared" si="154"/>
        <v>0</v>
      </c>
      <c r="CF197" s="387">
        <f t="shared" si="155"/>
        <v>-92.069431999999992</v>
      </c>
      <c r="CG197" s="387">
        <f t="shared" si="156"/>
        <v>0</v>
      </c>
      <c r="CH197" s="387">
        <f t="shared" si="157"/>
        <v>0</v>
      </c>
      <c r="CI197" s="387">
        <f t="shared" si="158"/>
        <v>0</v>
      </c>
      <c r="CJ197" s="387">
        <f t="shared" si="171"/>
        <v>-92.069431999999992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0461-00</v>
      </c>
    </row>
    <row r="198" spans="1:92" ht="15.75" thickBot="1" x14ac:dyDescent="0.3">
      <c r="A198" s="376" t="s">
        <v>161</v>
      </c>
      <c r="B198" s="376" t="s">
        <v>162</v>
      </c>
      <c r="C198" s="376" t="s">
        <v>194</v>
      </c>
      <c r="D198" s="376" t="s">
        <v>195</v>
      </c>
      <c r="E198" s="376" t="s">
        <v>755</v>
      </c>
      <c r="F198" s="377" t="s">
        <v>166</v>
      </c>
      <c r="G198" s="376" t="s">
        <v>835</v>
      </c>
      <c r="H198" s="378"/>
      <c r="I198" s="378"/>
      <c r="J198" s="376" t="s">
        <v>196</v>
      </c>
      <c r="K198" s="376" t="s">
        <v>197</v>
      </c>
      <c r="L198" s="376" t="s">
        <v>166</v>
      </c>
      <c r="M198" s="376" t="s">
        <v>171</v>
      </c>
      <c r="N198" s="376" t="s">
        <v>198</v>
      </c>
      <c r="O198" s="379">
        <v>1</v>
      </c>
      <c r="P198" s="385">
        <v>0.05</v>
      </c>
      <c r="Q198" s="385">
        <v>0.05</v>
      </c>
      <c r="R198" s="380">
        <v>80</v>
      </c>
      <c r="S198" s="385">
        <v>0.05</v>
      </c>
      <c r="T198" s="380">
        <v>6180.72</v>
      </c>
      <c r="U198" s="380">
        <v>0</v>
      </c>
      <c r="V198" s="380">
        <v>1793.13</v>
      </c>
      <c r="W198" s="380">
        <v>6613.36</v>
      </c>
      <c r="X198" s="380">
        <v>2017.66</v>
      </c>
      <c r="Y198" s="380">
        <v>6613.36</v>
      </c>
      <c r="Z198" s="380">
        <v>2017.66</v>
      </c>
      <c r="AA198" s="376" t="s">
        <v>199</v>
      </c>
      <c r="AB198" s="376" t="s">
        <v>200</v>
      </c>
      <c r="AC198" s="376" t="s">
        <v>201</v>
      </c>
      <c r="AD198" s="376" t="s">
        <v>202</v>
      </c>
      <c r="AE198" s="376" t="s">
        <v>197</v>
      </c>
      <c r="AF198" s="376" t="s">
        <v>203</v>
      </c>
      <c r="AG198" s="376" t="s">
        <v>178</v>
      </c>
      <c r="AH198" s="381">
        <v>63.59</v>
      </c>
      <c r="AI198" s="379">
        <v>24698</v>
      </c>
      <c r="AJ198" s="376" t="s">
        <v>179</v>
      </c>
      <c r="AK198" s="376" t="s">
        <v>180</v>
      </c>
      <c r="AL198" s="376" t="s">
        <v>181</v>
      </c>
      <c r="AM198" s="376" t="s">
        <v>181</v>
      </c>
      <c r="AN198" s="376" t="s">
        <v>68</v>
      </c>
      <c r="AO198" s="379">
        <v>80</v>
      </c>
      <c r="AP198" s="385">
        <v>1</v>
      </c>
      <c r="AQ198" s="385">
        <v>0.05</v>
      </c>
      <c r="AR198" s="383" t="s">
        <v>183</v>
      </c>
      <c r="AS198" s="387">
        <f t="shared" si="159"/>
        <v>0.05</v>
      </c>
      <c r="AT198">
        <f t="shared" si="160"/>
        <v>1</v>
      </c>
      <c r="AU198" s="387">
        <f>IF(AT198=0,"",IF(AND(AT198=1,M198="F",SUMIF(C2:C206,C198,AS2:AS206)&lt;=1),SUMIF(C2:C206,C198,AS2:AS206),IF(AND(AT198=1,M198="F",SUMIF(C2:C206,C198,AS2:AS206)&gt;1),1,"")))</f>
        <v>1</v>
      </c>
      <c r="AV198" s="387" t="str">
        <f>IF(AT198=0,"",IF(AND(AT198=3,M198="F",SUMIF(C2:C206,C198,AS2:AS206)&lt;=1),SUMIF(C2:C206,C198,AS2:AS206),IF(AND(AT198=3,M198="F",SUMIF(C2:C206,C198,AS2:AS206)&gt;1),1,"")))</f>
        <v/>
      </c>
      <c r="AW198" s="387">
        <f>SUMIF(C2:C206,C198,O2:O206)</f>
        <v>7</v>
      </c>
      <c r="AX198" s="387">
        <f>IF(AND(M198="F",AS198&lt;&gt;0),SUMIF(C2:C206,C198,W2:W206),0)</f>
        <v>132267.19</v>
      </c>
      <c r="AY198" s="387">
        <f t="shared" si="161"/>
        <v>6613.36</v>
      </c>
      <c r="AZ198" s="387" t="str">
        <f t="shared" si="162"/>
        <v/>
      </c>
      <c r="BA198" s="387">
        <f t="shared" si="163"/>
        <v>0</v>
      </c>
      <c r="BB198" s="387">
        <f t="shared" si="132"/>
        <v>582.5</v>
      </c>
      <c r="BC198" s="387">
        <f t="shared" si="133"/>
        <v>0</v>
      </c>
      <c r="BD198" s="387">
        <f t="shared" si="134"/>
        <v>410.02831999999995</v>
      </c>
      <c r="BE198" s="387">
        <f t="shared" si="135"/>
        <v>95.893720000000002</v>
      </c>
      <c r="BF198" s="387">
        <f t="shared" si="136"/>
        <v>789.63518399999998</v>
      </c>
      <c r="BG198" s="387">
        <f t="shared" si="137"/>
        <v>47.682325599999999</v>
      </c>
      <c r="BH198" s="387">
        <f t="shared" si="138"/>
        <v>0</v>
      </c>
      <c r="BI198" s="387">
        <f t="shared" si="139"/>
        <v>0</v>
      </c>
      <c r="BJ198" s="387">
        <f t="shared" si="140"/>
        <v>91.925703999999996</v>
      </c>
      <c r="BK198" s="387">
        <f t="shared" si="141"/>
        <v>0</v>
      </c>
      <c r="BL198" s="387">
        <f t="shared" si="164"/>
        <v>1435.1652535999999</v>
      </c>
      <c r="BM198" s="387">
        <f t="shared" si="165"/>
        <v>0</v>
      </c>
      <c r="BN198" s="387">
        <f t="shared" si="142"/>
        <v>582.5</v>
      </c>
      <c r="BO198" s="387">
        <f t="shared" si="143"/>
        <v>0</v>
      </c>
      <c r="BP198" s="387">
        <f t="shared" si="144"/>
        <v>410.02831999999995</v>
      </c>
      <c r="BQ198" s="387">
        <f t="shared" si="145"/>
        <v>95.893720000000002</v>
      </c>
      <c r="BR198" s="387">
        <f t="shared" si="146"/>
        <v>789.63518399999998</v>
      </c>
      <c r="BS198" s="387">
        <f t="shared" si="147"/>
        <v>47.682325599999999</v>
      </c>
      <c r="BT198" s="387">
        <f t="shared" si="148"/>
        <v>0</v>
      </c>
      <c r="BU198" s="387">
        <f t="shared" si="149"/>
        <v>0</v>
      </c>
      <c r="BV198" s="387">
        <f t="shared" si="150"/>
        <v>91.925703999999996</v>
      </c>
      <c r="BW198" s="387">
        <f t="shared" si="151"/>
        <v>0</v>
      </c>
      <c r="BX198" s="387">
        <f t="shared" si="166"/>
        <v>1435.1652535999999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0</v>
      </c>
      <c r="CG198" s="387">
        <f t="shared" si="156"/>
        <v>0</v>
      </c>
      <c r="CH198" s="387">
        <f t="shared" si="157"/>
        <v>0</v>
      </c>
      <c r="CI198" s="387">
        <f t="shared" si="158"/>
        <v>0</v>
      </c>
      <c r="CJ198" s="387">
        <f t="shared" si="171"/>
        <v>0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0461-00</v>
      </c>
    </row>
    <row r="199" spans="1:92" ht="15.75" thickBot="1" x14ac:dyDescent="0.3">
      <c r="A199" s="376" t="s">
        <v>161</v>
      </c>
      <c r="B199" s="376" t="s">
        <v>162</v>
      </c>
      <c r="C199" s="376" t="s">
        <v>243</v>
      </c>
      <c r="D199" s="376" t="s">
        <v>244</v>
      </c>
      <c r="E199" s="376" t="s">
        <v>755</v>
      </c>
      <c r="F199" s="377" t="s">
        <v>166</v>
      </c>
      <c r="G199" s="376" t="s">
        <v>835</v>
      </c>
      <c r="H199" s="378"/>
      <c r="I199" s="378"/>
      <c r="J199" s="376" t="s">
        <v>219</v>
      </c>
      <c r="K199" s="376" t="s">
        <v>245</v>
      </c>
      <c r="L199" s="376" t="s">
        <v>178</v>
      </c>
      <c r="M199" s="376" t="s">
        <v>171</v>
      </c>
      <c r="N199" s="376" t="s">
        <v>172</v>
      </c>
      <c r="O199" s="379">
        <v>1</v>
      </c>
      <c r="P199" s="385">
        <v>0.21</v>
      </c>
      <c r="Q199" s="385">
        <v>0.21</v>
      </c>
      <c r="R199" s="380">
        <v>80</v>
      </c>
      <c r="S199" s="385">
        <v>0.21</v>
      </c>
      <c r="T199" s="380">
        <v>6202.65</v>
      </c>
      <c r="U199" s="380">
        <v>0</v>
      </c>
      <c r="V199" s="380">
        <v>3228.67</v>
      </c>
      <c r="W199" s="380">
        <v>7041.21</v>
      </c>
      <c r="X199" s="380">
        <v>4030.55</v>
      </c>
      <c r="Y199" s="380">
        <v>7041.21</v>
      </c>
      <c r="Z199" s="380">
        <v>3996.05</v>
      </c>
      <c r="AA199" s="376" t="s">
        <v>246</v>
      </c>
      <c r="AB199" s="376" t="s">
        <v>247</v>
      </c>
      <c r="AC199" s="376" t="s">
        <v>248</v>
      </c>
      <c r="AD199" s="376" t="s">
        <v>249</v>
      </c>
      <c r="AE199" s="376" t="s">
        <v>245</v>
      </c>
      <c r="AF199" s="376" t="s">
        <v>250</v>
      </c>
      <c r="AG199" s="376" t="s">
        <v>178</v>
      </c>
      <c r="AH199" s="381">
        <v>16.12</v>
      </c>
      <c r="AI199" s="379">
        <v>1600</v>
      </c>
      <c r="AJ199" s="376" t="s">
        <v>179</v>
      </c>
      <c r="AK199" s="376" t="s">
        <v>180</v>
      </c>
      <c r="AL199" s="376" t="s">
        <v>181</v>
      </c>
      <c r="AM199" s="376" t="s">
        <v>182</v>
      </c>
      <c r="AN199" s="376" t="s">
        <v>68</v>
      </c>
      <c r="AO199" s="379">
        <v>80</v>
      </c>
      <c r="AP199" s="385">
        <v>1</v>
      </c>
      <c r="AQ199" s="385">
        <v>0.21</v>
      </c>
      <c r="AR199" s="383" t="s">
        <v>183</v>
      </c>
      <c r="AS199" s="387">
        <f t="shared" si="159"/>
        <v>0.21</v>
      </c>
      <c r="AT199">
        <f t="shared" si="160"/>
        <v>1</v>
      </c>
      <c r="AU199" s="387">
        <f>IF(AT199=0,"",IF(AND(AT199=1,M199="F",SUMIF(C2:C206,C199,AS2:AS206)&lt;=1),SUMIF(C2:C206,C199,AS2:AS206),IF(AND(AT199=1,M199="F",SUMIF(C2:C206,C199,AS2:AS206)&gt;1),1,"")))</f>
        <v>1</v>
      </c>
      <c r="AV199" s="387" t="str">
        <f>IF(AT199=0,"",IF(AND(AT199=3,M199="F",SUMIF(C2:C206,C199,AS2:AS206)&lt;=1),SUMIF(C2:C206,C199,AS2:AS206),IF(AND(AT199=3,M199="F",SUMIF(C2:C206,C199,AS2:AS206)&gt;1),1,"")))</f>
        <v/>
      </c>
      <c r="AW199" s="387">
        <f>SUMIF(C2:C206,C199,O2:O206)</f>
        <v>5</v>
      </c>
      <c r="AX199" s="387">
        <f>IF(AND(M199="F",AS199&lt;&gt;0),SUMIF(C2:C206,C199,W2:W206),0)</f>
        <v>33529.589999999997</v>
      </c>
      <c r="AY199" s="387">
        <f t="shared" si="161"/>
        <v>7041.21</v>
      </c>
      <c r="AZ199" s="387" t="str">
        <f t="shared" si="162"/>
        <v/>
      </c>
      <c r="BA199" s="387">
        <f t="shared" si="163"/>
        <v>0</v>
      </c>
      <c r="BB199" s="387">
        <f t="shared" si="132"/>
        <v>2446.5</v>
      </c>
      <c r="BC199" s="387">
        <f t="shared" si="133"/>
        <v>0</v>
      </c>
      <c r="BD199" s="387">
        <f t="shared" si="134"/>
        <v>436.55502000000001</v>
      </c>
      <c r="BE199" s="387">
        <f t="shared" si="135"/>
        <v>102.09754500000001</v>
      </c>
      <c r="BF199" s="387">
        <f t="shared" si="136"/>
        <v>840.72047400000008</v>
      </c>
      <c r="BG199" s="387">
        <f t="shared" si="137"/>
        <v>50.767124100000004</v>
      </c>
      <c r="BH199" s="387">
        <f t="shared" si="138"/>
        <v>34.501928999999997</v>
      </c>
      <c r="BI199" s="387">
        <f t="shared" si="139"/>
        <v>21.546102599999998</v>
      </c>
      <c r="BJ199" s="387">
        <f t="shared" si="140"/>
        <v>97.872818999999993</v>
      </c>
      <c r="BK199" s="387">
        <f t="shared" si="141"/>
        <v>0</v>
      </c>
      <c r="BL199" s="387">
        <f t="shared" si="164"/>
        <v>1584.0610137000001</v>
      </c>
      <c r="BM199" s="387">
        <f t="shared" si="165"/>
        <v>0</v>
      </c>
      <c r="BN199" s="387">
        <f t="shared" si="142"/>
        <v>2446.5</v>
      </c>
      <c r="BO199" s="387">
        <f t="shared" si="143"/>
        <v>0</v>
      </c>
      <c r="BP199" s="387">
        <f t="shared" si="144"/>
        <v>436.55502000000001</v>
      </c>
      <c r="BQ199" s="387">
        <f t="shared" si="145"/>
        <v>102.09754500000001</v>
      </c>
      <c r="BR199" s="387">
        <f t="shared" si="146"/>
        <v>840.72047400000008</v>
      </c>
      <c r="BS199" s="387">
        <f t="shared" si="147"/>
        <v>50.767124100000004</v>
      </c>
      <c r="BT199" s="387">
        <f t="shared" si="148"/>
        <v>0</v>
      </c>
      <c r="BU199" s="387">
        <f t="shared" si="149"/>
        <v>21.546102599999998</v>
      </c>
      <c r="BV199" s="387">
        <f t="shared" si="150"/>
        <v>97.872818999999993</v>
      </c>
      <c r="BW199" s="387">
        <f t="shared" si="151"/>
        <v>0</v>
      </c>
      <c r="BX199" s="387">
        <f t="shared" si="166"/>
        <v>1549.5590847000001</v>
      </c>
      <c r="BY199" s="387">
        <f t="shared" si="167"/>
        <v>0</v>
      </c>
      <c r="BZ199" s="387">
        <f t="shared" si="168"/>
        <v>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0</v>
      </c>
      <c r="CE199" s="387">
        <f t="shared" si="154"/>
        <v>0</v>
      </c>
      <c r="CF199" s="387">
        <f t="shared" si="155"/>
        <v>-34.501928999999997</v>
      </c>
      <c r="CG199" s="387">
        <f t="shared" si="156"/>
        <v>0</v>
      </c>
      <c r="CH199" s="387">
        <f t="shared" si="157"/>
        <v>0</v>
      </c>
      <c r="CI199" s="387">
        <f t="shared" si="158"/>
        <v>0</v>
      </c>
      <c r="CJ199" s="387">
        <f t="shared" si="171"/>
        <v>-34.501928999999997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0461-00</v>
      </c>
    </row>
    <row r="200" spans="1:92" ht="15.75" thickBot="1" x14ac:dyDescent="0.3">
      <c r="A200" s="376" t="s">
        <v>161</v>
      </c>
      <c r="B200" s="376" t="s">
        <v>162</v>
      </c>
      <c r="C200" s="376" t="s">
        <v>217</v>
      </c>
      <c r="D200" s="376" t="s">
        <v>218</v>
      </c>
      <c r="E200" s="376" t="s">
        <v>755</v>
      </c>
      <c r="F200" s="377" t="s">
        <v>166</v>
      </c>
      <c r="G200" s="376" t="s">
        <v>835</v>
      </c>
      <c r="H200" s="378"/>
      <c r="I200" s="378"/>
      <c r="J200" s="376" t="s">
        <v>219</v>
      </c>
      <c r="K200" s="376" t="s">
        <v>220</v>
      </c>
      <c r="L200" s="376" t="s">
        <v>188</v>
      </c>
      <c r="M200" s="376" t="s">
        <v>207</v>
      </c>
      <c r="N200" s="376" t="s">
        <v>172</v>
      </c>
      <c r="O200" s="379">
        <v>0</v>
      </c>
      <c r="P200" s="385">
        <v>0.05</v>
      </c>
      <c r="Q200" s="385">
        <v>0.05</v>
      </c>
      <c r="R200" s="380">
        <v>80</v>
      </c>
      <c r="S200" s="385">
        <v>0.05</v>
      </c>
      <c r="T200" s="380">
        <v>237.28</v>
      </c>
      <c r="U200" s="380">
        <v>0</v>
      </c>
      <c r="V200" s="380">
        <v>96.27</v>
      </c>
      <c r="W200" s="380">
        <v>2370.16</v>
      </c>
      <c r="X200" s="380">
        <v>1038.1300000000001</v>
      </c>
      <c r="Y200" s="380">
        <v>2370.16</v>
      </c>
      <c r="Z200" s="380">
        <v>1026.27</v>
      </c>
      <c r="AA200" s="378"/>
      <c r="AB200" s="376" t="s">
        <v>45</v>
      </c>
      <c r="AC200" s="376" t="s">
        <v>45</v>
      </c>
      <c r="AD200" s="378"/>
      <c r="AE200" s="378"/>
      <c r="AF200" s="378"/>
      <c r="AG200" s="378"/>
      <c r="AH200" s="379">
        <v>0</v>
      </c>
      <c r="AI200" s="379">
        <v>0</v>
      </c>
      <c r="AJ200" s="378"/>
      <c r="AK200" s="378"/>
      <c r="AL200" s="376" t="s">
        <v>181</v>
      </c>
      <c r="AM200" s="378"/>
      <c r="AN200" s="378"/>
      <c r="AO200" s="379">
        <v>0</v>
      </c>
      <c r="AP200" s="385">
        <v>0</v>
      </c>
      <c r="AQ200" s="385">
        <v>0</v>
      </c>
      <c r="AR200" s="384"/>
      <c r="AS200" s="387">
        <f t="shared" si="159"/>
        <v>0</v>
      </c>
      <c r="AT200">
        <f t="shared" si="160"/>
        <v>0</v>
      </c>
      <c r="AU200" s="387" t="str">
        <f>IF(AT200=0,"",IF(AND(AT200=1,M200="F",SUMIF(C2:C206,C200,AS2:AS206)&lt;=1),SUMIF(C2:C206,C200,AS2:AS206),IF(AND(AT200=1,M200="F",SUMIF(C2:C206,C200,AS2:AS206)&gt;1),1,"")))</f>
        <v/>
      </c>
      <c r="AV200" s="387" t="str">
        <f>IF(AT200=0,"",IF(AND(AT200=3,M200="F",SUMIF(C2:C206,C200,AS2:AS206)&lt;=1),SUMIF(C2:C206,C200,AS2:AS206),IF(AND(AT200=3,M200="F",SUMIF(C2:C206,C200,AS2:AS206)&gt;1),1,"")))</f>
        <v/>
      </c>
      <c r="AW200" s="387">
        <f>SUMIF(C2:C206,C200,O2:O206)</f>
        <v>0</v>
      </c>
      <c r="AX200" s="387">
        <f>IF(AND(M200="F",AS200&lt;&gt;0),SUMIF(C2:C206,C200,W2:W206),0)</f>
        <v>0</v>
      </c>
      <c r="AY200" s="387" t="str">
        <f t="shared" si="161"/>
        <v/>
      </c>
      <c r="AZ200" s="387" t="str">
        <f t="shared" si="162"/>
        <v/>
      </c>
      <c r="BA200" s="387">
        <f t="shared" si="163"/>
        <v>0</v>
      </c>
      <c r="BB200" s="387">
        <f t="shared" si="132"/>
        <v>0</v>
      </c>
      <c r="BC200" s="387">
        <f t="shared" si="133"/>
        <v>0</v>
      </c>
      <c r="BD200" s="387">
        <f t="shared" si="134"/>
        <v>0</v>
      </c>
      <c r="BE200" s="387">
        <f t="shared" si="135"/>
        <v>0</v>
      </c>
      <c r="BF200" s="387">
        <f t="shared" si="136"/>
        <v>0</v>
      </c>
      <c r="BG200" s="387">
        <f t="shared" si="137"/>
        <v>0</v>
      </c>
      <c r="BH200" s="387">
        <f t="shared" si="138"/>
        <v>0</v>
      </c>
      <c r="BI200" s="387">
        <f t="shared" si="139"/>
        <v>0</v>
      </c>
      <c r="BJ200" s="387">
        <f t="shared" si="140"/>
        <v>0</v>
      </c>
      <c r="BK200" s="387">
        <f t="shared" si="141"/>
        <v>0</v>
      </c>
      <c r="BL200" s="387">
        <f t="shared" si="164"/>
        <v>0</v>
      </c>
      <c r="BM200" s="387">
        <f t="shared" si="165"/>
        <v>0</v>
      </c>
      <c r="BN200" s="387">
        <f t="shared" si="142"/>
        <v>0</v>
      </c>
      <c r="BO200" s="387">
        <f t="shared" si="143"/>
        <v>0</v>
      </c>
      <c r="BP200" s="387">
        <f t="shared" si="144"/>
        <v>0</v>
      </c>
      <c r="BQ200" s="387">
        <f t="shared" si="145"/>
        <v>0</v>
      </c>
      <c r="BR200" s="387">
        <f t="shared" si="146"/>
        <v>0</v>
      </c>
      <c r="BS200" s="387">
        <f t="shared" si="147"/>
        <v>0</v>
      </c>
      <c r="BT200" s="387">
        <f t="shared" si="148"/>
        <v>0</v>
      </c>
      <c r="BU200" s="387">
        <f t="shared" si="149"/>
        <v>0</v>
      </c>
      <c r="BV200" s="387">
        <f t="shared" si="150"/>
        <v>0</v>
      </c>
      <c r="BW200" s="387">
        <f t="shared" si="151"/>
        <v>0</v>
      </c>
      <c r="BX200" s="387">
        <f t="shared" si="166"/>
        <v>0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0</v>
      </c>
      <c r="CG200" s="387">
        <f t="shared" si="156"/>
        <v>0</v>
      </c>
      <c r="CH200" s="387">
        <f t="shared" si="157"/>
        <v>0</v>
      </c>
      <c r="CI200" s="387">
        <f t="shared" si="158"/>
        <v>0</v>
      </c>
      <c r="CJ200" s="387">
        <f t="shared" si="171"/>
        <v>0</v>
      </c>
      <c r="CK200" s="387" t="str">
        <f t="shared" si="172"/>
        <v/>
      </c>
      <c r="CL200" s="387" t="str">
        <f t="shared" si="173"/>
        <v/>
      </c>
      <c r="CM200" s="387" t="str">
        <f t="shared" si="174"/>
        <v/>
      </c>
      <c r="CN200" s="387" t="str">
        <f t="shared" si="175"/>
        <v>0461-00</v>
      </c>
    </row>
    <row r="201" spans="1:92" ht="15.75" thickBot="1" x14ac:dyDescent="0.3">
      <c r="A201" s="376" t="s">
        <v>161</v>
      </c>
      <c r="B201" s="376" t="s">
        <v>162</v>
      </c>
      <c r="C201" s="376" t="s">
        <v>209</v>
      </c>
      <c r="D201" s="376" t="s">
        <v>210</v>
      </c>
      <c r="E201" s="376" t="s">
        <v>788</v>
      </c>
      <c r="F201" s="377" t="s">
        <v>166</v>
      </c>
      <c r="G201" s="376" t="s">
        <v>835</v>
      </c>
      <c r="H201" s="378"/>
      <c r="I201" s="378"/>
      <c r="J201" s="376" t="s">
        <v>168</v>
      </c>
      <c r="K201" s="376" t="s">
        <v>211</v>
      </c>
      <c r="L201" s="376" t="s">
        <v>166</v>
      </c>
      <c r="M201" s="376" t="s">
        <v>171</v>
      </c>
      <c r="N201" s="376" t="s">
        <v>198</v>
      </c>
      <c r="O201" s="379">
        <v>1</v>
      </c>
      <c r="P201" s="385">
        <v>0.05</v>
      </c>
      <c r="Q201" s="385">
        <v>0.05</v>
      </c>
      <c r="R201" s="380">
        <v>80</v>
      </c>
      <c r="S201" s="385">
        <v>0.05</v>
      </c>
      <c r="T201" s="380">
        <v>5534.32</v>
      </c>
      <c r="U201" s="380">
        <v>0</v>
      </c>
      <c r="V201" s="380">
        <v>1702.42</v>
      </c>
      <c r="W201" s="380">
        <v>5705.44</v>
      </c>
      <c r="X201" s="380">
        <v>1848.59</v>
      </c>
      <c r="Y201" s="380">
        <v>5705.44</v>
      </c>
      <c r="Z201" s="380">
        <v>1820.63</v>
      </c>
      <c r="AA201" s="376" t="s">
        <v>212</v>
      </c>
      <c r="AB201" s="376" t="s">
        <v>213</v>
      </c>
      <c r="AC201" s="376" t="s">
        <v>214</v>
      </c>
      <c r="AD201" s="376" t="s">
        <v>215</v>
      </c>
      <c r="AE201" s="376" t="s">
        <v>211</v>
      </c>
      <c r="AF201" s="376" t="s">
        <v>203</v>
      </c>
      <c r="AG201" s="376" t="s">
        <v>178</v>
      </c>
      <c r="AH201" s="381">
        <v>54.86</v>
      </c>
      <c r="AI201" s="381">
        <v>4367.1000000000004</v>
      </c>
      <c r="AJ201" s="376" t="s">
        <v>179</v>
      </c>
      <c r="AK201" s="376" t="s">
        <v>180</v>
      </c>
      <c r="AL201" s="376" t="s">
        <v>181</v>
      </c>
      <c r="AM201" s="376" t="s">
        <v>182</v>
      </c>
      <c r="AN201" s="376" t="s">
        <v>68</v>
      </c>
      <c r="AO201" s="379">
        <v>80</v>
      </c>
      <c r="AP201" s="385">
        <v>1</v>
      </c>
      <c r="AQ201" s="385">
        <v>0.05</v>
      </c>
      <c r="AR201" s="383" t="s">
        <v>183</v>
      </c>
      <c r="AS201" s="387">
        <f t="shared" si="159"/>
        <v>0.05</v>
      </c>
      <c r="AT201">
        <f t="shared" si="160"/>
        <v>1</v>
      </c>
      <c r="AU201" s="387">
        <f>IF(AT201=0,"",IF(AND(AT201=1,M201="F",SUMIF(C2:C206,C201,AS2:AS206)&lt;=1),SUMIF(C2:C206,C201,AS2:AS206),IF(AND(AT201=1,M201="F",SUMIF(C2:C206,C201,AS2:AS206)&gt;1),1,"")))</f>
        <v>1</v>
      </c>
      <c r="AV201" s="387" t="str">
        <f>IF(AT201=0,"",IF(AND(AT201=3,M201="F",SUMIF(C2:C206,C201,AS2:AS206)&lt;=1),SUMIF(C2:C206,C201,AS2:AS206),IF(AND(AT201=3,M201="F",SUMIF(C2:C206,C201,AS2:AS206)&gt;1),1,"")))</f>
        <v/>
      </c>
      <c r="AW201" s="387">
        <f>SUMIF(C2:C206,C201,O2:O206)</f>
        <v>4</v>
      </c>
      <c r="AX201" s="387">
        <f>IF(AND(M201="F",AS201&lt;&gt;0),SUMIF(C2:C206,C201,W2:W206),0)</f>
        <v>114108.8</v>
      </c>
      <c r="AY201" s="387">
        <f t="shared" si="161"/>
        <v>5705.44</v>
      </c>
      <c r="AZ201" s="387" t="str">
        <f t="shared" si="162"/>
        <v/>
      </c>
      <c r="BA201" s="387">
        <f t="shared" si="163"/>
        <v>0</v>
      </c>
      <c r="BB201" s="387">
        <f t="shared" si="132"/>
        <v>582.5</v>
      </c>
      <c r="BC201" s="387">
        <f t="shared" si="133"/>
        <v>0</v>
      </c>
      <c r="BD201" s="387">
        <f t="shared" si="134"/>
        <v>353.73728</v>
      </c>
      <c r="BE201" s="387">
        <f t="shared" si="135"/>
        <v>82.728880000000004</v>
      </c>
      <c r="BF201" s="387">
        <f t="shared" si="136"/>
        <v>681.22953599999994</v>
      </c>
      <c r="BG201" s="387">
        <f t="shared" si="137"/>
        <v>41.136222400000001</v>
      </c>
      <c r="BH201" s="387">
        <f t="shared" si="138"/>
        <v>27.956655999999999</v>
      </c>
      <c r="BI201" s="387">
        <f t="shared" si="139"/>
        <v>0</v>
      </c>
      <c r="BJ201" s="387">
        <f t="shared" si="140"/>
        <v>79.305615999999986</v>
      </c>
      <c r="BK201" s="387">
        <f t="shared" si="141"/>
        <v>0</v>
      </c>
      <c r="BL201" s="387">
        <f t="shared" si="164"/>
        <v>1266.0941904000001</v>
      </c>
      <c r="BM201" s="387">
        <f t="shared" si="165"/>
        <v>0</v>
      </c>
      <c r="BN201" s="387">
        <f t="shared" si="142"/>
        <v>582.5</v>
      </c>
      <c r="BO201" s="387">
        <f t="shared" si="143"/>
        <v>0</v>
      </c>
      <c r="BP201" s="387">
        <f t="shared" si="144"/>
        <v>353.73728</v>
      </c>
      <c r="BQ201" s="387">
        <f t="shared" si="145"/>
        <v>82.728880000000004</v>
      </c>
      <c r="BR201" s="387">
        <f t="shared" si="146"/>
        <v>681.22953599999994</v>
      </c>
      <c r="BS201" s="387">
        <f t="shared" si="147"/>
        <v>41.136222400000001</v>
      </c>
      <c r="BT201" s="387">
        <f t="shared" si="148"/>
        <v>0</v>
      </c>
      <c r="BU201" s="387">
        <f t="shared" si="149"/>
        <v>0</v>
      </c>
      <c r="BV201" s="387">
        <f t="shared" si="150"/>
        <v>79.305615999999986</v>
      </c>
      <c r="BW201" s="387">
        <f t="shared" si="151"/>
        <v>0</v>
      </c>
      <c r="BX201" s="387">
        <f t="shared" si="166"/>
        <v>1238.1375343999998</v>
      </c>
      <c r="BY201" s="387">
        <f t="shared" si="167"/>
        <v>0</v>
      </c>
      <c r="BZ201" s="387">
        <f t="shared" si="168"/>
        <v>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0</v>
      </c>
      <c r="CE201" s="387">
        <f t="shared" si="154"/>
        <v>0</v>
      </c>
      <c r="CF201" s="387">
        <f t="shared" si="155"/>
        <v>-27.956655999999999</v>
      </c>
      <c r="CG201" s="387">
        <f t="shared" si="156"/>
        <v>0</v>
      </c>
      <c r="CH201" s="387">
        <f t="shared" si="157"/>
        <v>0</v>
      </c>
      <c r="CI201" s="387">
        <f t="shared" si="158"/>
        <v>0</v>
      </c>
      <c r="CJ201" s="387">
        <f t="shared" si="171"/>
        <v>-27.956655999999999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0462-00</v>
      </c>
    </row>
    <row r="202" spans="1:92" ht="15.75" thickBot="1" x14ac:dyDescent="0.3">
      <c r="A202" s="376" t="s">
        <v>161</v>
      </c>
      <c r="B202" s="376" t="s">
        <v>162</v>
      </c>
      <c r="C202" s="376" t="s">
        <v>163</v>
      </c>
      <c r="D202" s="376" t="s">
        <v>164</v>
      </c>
      <c r="E202" s="376" t="s">
        <v>788</v>
      </c>
      <c r="F202" s="377" t="s">
        <v>166</v>
      </c>
      <c r="G202" s="376" t="s">
        <v>835</v>
      </c>
      <c r="H202" s="378"/>
      <c r="I202" s="378"/>
      <c r="J202" s="376" t="s">
        <v>168</v>
      </c>
      <c r="K202" s="376" t="s">
        <v>169</v>
      </c>
      <c r="L202" s="376" t="s">
        <v>170</v>
      </c>
      <c r="M202" s="376" t="s">
        <v>171</v>
      </c>
      <c r="N202" s="376" t="s">
        <v>172</v>
      </c>
      <c r="O202" s="379">
        <v>1</v>
      </c>
      <c r="P202" s="385">
        <v>0.15</v>
      </c>
      <c r="Q202" s="385">
        <v>0.15</v>
      </c>
      <c r="R202" s="380">
        <v>80</v>
      </c>
      <c r="S202" s="385">
        <v>0.15</v>
      </c>
      <c r="T202" s="380">
        <v>9433.2000000000007</v>
      </c>
      <c r="U202" s="380">
        <v>0</v>
      </c>
      <c r="V202" s="380">
        <v>3479.76</v>
      </c>
      <c r="W202" s="380">
        <v>9734.4</v>
      </c>
      <c r="X202" s="380">
        <v>3937.44</v>
      </c>
      <c r="Y202" s="380">
        <v>9734.4</v>
      </c>
      <c r="Z202" s="380">
        <v>3889.74</v>
      </c>
      <c r="AA202" s="376" t="s">
        <v>173</v>
      </c>
      <c r="AB202" s="376" t="s">
        <v>174</v>
      </c>
      <c r="AC202" s="376" t="s">
        <v>175</v>
      </c>
      <c r="AD202" s="376" t="s">
        <v>176</v>
      </c>
      <c r="AE202" s="376" t="s">
        <v>169</v>
      </c>
      <c r="AF202" s="376" t="s">
        <v>177</v>
      </c>
      <c r="AG202" s="376" t="s">
        <v>178</v>
      </c>
      <c r="AH202" s="381">
        <v>31.2</v>
      </c>
      <c r="AI202" s="381">
        <v>16254.3</v>
      </c>
      <c r="AJ202" s="376" t="s">
        <v>179</v>
      </c>
      <c r="AK202" s="376" t="s">
        <v>180</v>
      </c>
      <c r="AL202" s="376" t="s">
        <v>181</v>
      </c>
      <c r="AM202" s="376" t="s">
        <v>182</v>
      </c>
      <c r="AN202" s="376" t="s">
        <v>68</v>
      </c>
      <c r="AO202" s="379">
        <v>80</v>
      </c>
      <c r="AP202" s="385">
        <v>1</v>
      </c>
      <c r="AQ202" s="385">
        <v>0.15</v>
      </c>
      <c r="AR202" s="383" t="s">
        <v>183</v>
      </c>
      <c r="AS202" s="387">
        <f t="shared" si="159"/>
        <v>0.15</v>
      </c>
      <c r="AT202">
        <f t="shared" si="160"/>
        <v>1</v>
      </c>
      <c r="AU202" s="387">
        <f>IF(AT202=0,"",IF(AND(AT202=1,M202="F",SUMIF(C2:C206,C202,AS2:AS206)&lt;=1),SUMIF(C2:C206,C202,AS2:AS206),IF(AND(AT202=1,M202="F",SUMIF(C2:C206,C202,AS2:AS206)&gt;1),1,"")))</f>
        <v>1</v>
      </c>
      <c r="AV202" s="387" t="str">
        <f>IF(AT202=0,"",IF(AND(AT202=3,M202="F",SUMIF(C2:C206,C202,AS2:AS206)&lt;=1),SUMIF(C2:C206,C202,AS2:AS206),IF(AND(AT202=3,M202="F",SUMIF(C2:C206,C202,AS2:AS206)&gt;1),1,"")))</f>
        <v/>
      </c>
      <c r="AW202" s="387">
        <f>SUMIF(C2:C206,C202,O2:O206)</f>
        <v>4</v>
      </c>
      <c r="AX202" s="387">
        <f>IF(AND(M202="F",AS202&lt;&gt;0),SUMIF(C2:C206,C202,W2:W206),0)</f>
        <v>64896.000000000007</v>
      </c>
      <c r="AY202" s="387">
        <f t="shared" si="161"/>
        <v>9734.4</v>
      </c>
      <c r="AZ202" s="387" t="str">
        <f t="shared" si="162"/>
        <v/>
      </c>
      <c r="BA202" s="387">
        <f t="shared" si="163"/>
        <v>0</v>
      </c>
      <c r="BB202" s="387">
        <f t="shared" si="132"/>
        <v>1747.5</v>
      </c>
      <c r="BC202" s="387">
        <f t="shared" si="133"/>
        <v>0</v>
      </c>
      <c r="BD202" s="387">
        <f t="shared" si="134"/>
        <v>603.53279999999995</v>
      </c>
      <c r="BE202" s="387">
        <f t="shared" si="135"/>
        <v>141.14879999999999</v>
      </c>
      <c r="BF202" s="387">
        <f t="shared" si="136"/>
        <v>1162.28736</v>
      </c>
      <c r="BG202" s="387">
        <f t="shared" si="137"/>
        <v>70.185023999999999</v>
      </c>
      <c r="BH202" s="387">
        <f t="shared" si="138"/>
        <v>47.698559999999993</v>
      </c>
      <c r="BI202" s="387">
        <f t="shared" si="139"/>
        <v>29.787263999999997</v>
      </c>
      <c r="BJ202" s="387">
        <f t="shared" si="140"/>
        <v>135.30815999999999</v>
      </c>
      <c r="BK202" s="387">
        <f t="shared" si="141"/>
        <v>0</v>
      </c>
      <c r="BL202" s="387">
        <f t="shared" si="164"/>
        <v>2189.9479679999999</v>
      </c>
      <c r="BM202" s="387">
        <f t="shared" si="165"/>
        <v>0</v>
      </c>
      <c r="BN202" s="387">
        <f t="shared" si="142"/>
        <v>1747.5</v>
      </c>
      <c r="BO202" s="387">
        <f t="shared" si="143"/>
        <v>0</v>
      </c>
      <c r="BP202" s="387">
        <f t="shared" si="144"/>
        <v>603.53279999999995</v>
      </c>
      <c r="BQ202" s="387">
        <f t="shared" si="145"/>
        <v>141.14879999999999</v>
      </c>
      <c r="BR202" s="387">
        <f t="shared" si="146"/>
        <v>1162.28736</v>
      </c>
      <c r="BS202" s="387">
        <f t="shared" si="147"/>
        <v>70.185023999999999</v>
      </c>
      <c r="BT202" s="387">
        <f t="shared" si="148"/>
        <v>0</v>
      </c>
      <c r="BU202" s="387">
        <f t="shared" si="149"/>
        <v>29.787263999999997</v>
      </c>
      <c r="BV202" s="387">
        <f t="shared" si="150"/>
        <v>135.30815999999999</v>
      </c>
      <c r="BW202" s="387">
        <f t="shared" si="151"/>
        <v>0</v>
      </c>
      <c r="BX202" s="387">
        <f t="shared" si="166"/>
        <v>2142.2494080000001</v>
      </c>
      <c r="BY202" s="387">
        <f t="shared" si="167"/>
        <v>0</v>
      </c>
      <c r="BZ202" s="387">
        <f t="shared" si="168"/>
        <v>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0</v>
      </c>
      <c r="CE202" s="387">
        <f t="shared" si="154"/>
        <v>0</v>
      </c>
      <c r="CF202" s="387">
        <f t="shared" si="155"/>
        <v>-47.698559999999993</v>
      </c>
      <c r="CG202" s="387">
        <f t="shared" si="156"/>
        <v>0</v>
      </c>
      <c r="CH202" s="387">
        <f t="shared" si="157"/>
        <v>0</v>
      </c>
      <c r="CI202" s="387">
        <f t="shared" si="158"/>
        <v>0</v>
      </c>
      <c r="CJ202" s="387">
        <f t="shared" si="171"/>
        <v>-47.698559999999993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0462-00</v>
      </c>
    </row>
    <row r="203" spans="1:92" ht="15.75" thickBot="1" x14ac:dyDescent="0.3">
      <c r="A203" s="376" t="s">
        <v>161</v>
      </c>
      <c r="B203" s="376" t="s">
        <v>162</v>
      </c>
      <c r="C203" s="376" t="s">
        <v>221</v>
      </c>
      <c r="D203" s="376" t="s">
        <v>222</v>
      </c>
      <c r="E203" s="376" t="s">
        <v>788</v>
      </c>
      <c r="F203" s="377" t="s">
        <v>166</v>
      </c>
      <c r="G203" s="376" t="s">
        <v>835</v>
      </c>
      <c r="H203" s="378"/>
      <c r="I203" s="378"/>
      <c r="J203" s="376" t="s">
        <v>219</v>
      </c>
      <c r="K203" s="376" t="s">
        <v>223</v>
      </c>
      <c r="L203" s="376" t="s">
        <v>224</v>
      </c>
      <c r="M203" s="376" t="s">
        <v>171</v>
      </c>
      <c r="N203" s="376" t="s">
        <v>172</v>
      </c>
      <c r="O203" s="379">
        <v>1</v>
      </c>
      <c r="P203" s="385">
        <v>0.16</v>
      </c>
      <c r="Q203" s="385">
        <v>0.16</v>
      </c>
      <c r="R203" s="380">
        <v>80</v>
      </c>
      <c r="S203" s="385">
        <v>0.16</v>
      </c>
      <c r="T203" s="380">
        <v>13780.6</v>
      </c>
      <c r="U203" s="380">
        <v>0</v>
      </c>
      <c r="V203" s="380">
        <v>4667.34</v>
      </c>
      <c r="W203" s="380">
        <v>13931</v>
      </c>
      <c r="X203" s="380">
        <v>4998.05</v>
      </c>
      <c r="Y203" s="380">
        <v>13931</v>
      </c>
      <c r="Z203" s="380">
        <v>4929.79</v>
      </c>
      <c r="AA203" s="376" t="s">
        <v>225</v>
      </c>
      <c r="AB203" s="376" t="s">
        <v>226</v>
      </c>
      <c r="AC203" s="376" t="s">
        <v>227</v>
      </c>
      <c r="AD203" s="376" t="s">
        <v>228</v>
      </c>
      <c r="AE203" s="376" t="s">
        <v>223</v>
      </c>
      <c r="AF203" s="376" t="s">
        <v>229</v>
      </c>
      <c r="AG203" s="376" t="s">
        <v>178</v>
      </c>
      <c r="AH203" s="381">
        <v>41.86</v>
      </c>
      <c r="AI203" s="381">
        <v>25678.7</v>
      </c>
      <c r="AJ203" s="376" t="s">
        <v>179</v>
      </c>
      <c r="AK203" s="376" t="s">
        <v>180</v>
      </c>
      <c r="AL203" s="376" t="s">
        <v>181</v>
      </c>
      <c r="AM203" s="376" t="s">
        <v>182</v>
      </c>
      <c r="AN203" s="376" t="s">
        <v>68</v>
      </c>
      <c r="AO203" s="379">
        <v>80</v>
      </c>
      <c r="AP203" s="385">
        <v>1</v>
      </c>
      <c r="AQ203" s="385">
        <v>0.16</v>
      </c>
      <c r="AR203" s="383" t="s">
        <v>183</v>
      </c>
      <c r="AS203" s="387">
        <f t="shared" si="159"/>
        <v>0.16</v>
      </c>
      <c r="AT203">
        <f t="shared" si="160"/>
        <v>1</v>
      </c>
      <c r="AU203" s="387">
        <f>IF(AT203=0,"",IF(AND(AT203=1,M203="F",SUMIF(C2:C206,C203,AS2:AS206)&lt;=1),SUMIF(C2:C206,C203,AS2:AS206),IF(AND(AT203=1,M203="F",SUMIF(C2:C206,C203,AS2:AS206)&gt;1),1,"")))</f>
        <v>1</v>
      </c>
      <c r="AV203" s="387" t="str">
        <f>IF(AT203=0,"",IF(AND(AT203=3,M203="F",SUMIF(C2:C206,C203,AS2:AS206)&lt;=1),SUMIF(C2:C206,C203,AS2:AS206),IF(AND(AT203=3,M203="F",SUMIF(C2:C206,C203,AS2:AS206)&gt;1),1,"")))</f>
        <v/>
      </c>
      <c r="AW203" s="387">
        <f>SUMIF(C2:C206,C203,O2:O206)</f>
        <v>5</v>
      </c>
      <c r="AX203" s="387">
        <f>IF(AND(M203="F",AS203&lt;&gt;0),SUMIF(C2:C206,C203,W2:W206),0)</f>
        <v>87068.78</v>
      </c>
      <c r="AY203" s="387">
        <f t="shared" si="161"/>
        <v>13931</v>
      </c>
      <c r="AZ203" s="387" t="str">
        <f t="shared" si="162"/>
        <v/>
      </c>
      <c r="BA203" s="387">
        <f t="shared" si="163"/>
        <v>0</v>
      </c>
      <c r="BB203" s="387">
        <f t="shared" si="132"/>
        <v>1864</v>
      </c>
      <c r="BC203" s="387">
        <f t="shared" si="133"/>
        <v>0</v>
      </c>
      <c r="BD203" s="387">
        <f t="shared" si="134"/>
        <v>863.72199999999998</v>
      </c>
      <c r="BE203" s="387">
        <f t="shared" si="135"/>
        <v>201.99950000000001</v>
      </c>
      <c r="BF203" s="387">
        <f t="shared" si="136"/>
        <v>1663.3614</v>
      </c>
      <c r="BG203" s="387">
        <f t="shared" si="137"/>
        <v>100.44251</v>
      </c>
      <c r="BH203" s="387">
        <f t="shared" si="138"/>
        <v>68.261899999999997</v>
      </c>
      <c r="BI203" s="387">
        <f t="shared" si="139"/>
        <v>42.628859999999996</v>
      </c>
      <c r="BJ203" s="387">
        <f t="shared" si="140"/>
        <v>193.64089999999999</v>
      </c>
      <c r="BK203" s="387">
        <f t="shared" si="141"/>
        <v>0</v>
      </c>
      <c r="BL203" s="387">
        <f t="shared" si="164"/>
        <v>3134.0570699999998</v>
      </c>
      <c r="BM203" s="387">
        <f t="shared" si="165"/>
        <v>0</v>
      </c>
      <c r="BN203" s="387">
        <f t="shared" si="142"/>
        <v>1864</v>
      </c>
      <c r="BO203" s="387">
        <f t="shared" si="143"/>
        <v>0</v>
      </c>
      <c r="BP203" s="387">
        <f t="shared" si="144"/>
        <v>863.72199999999998</v>
      </c>
      <c r="BQ203" s="387">
        <f t="shared" si="145"/>
        <v>201.99950000000001</v>
      </c>
      <c r="BR203" s="387">
        <f t="shared" si="146"/>
        <v>1663.3614</v>
      </c>
      <c r="BS203" s="387">
        <f t="shared" si="147"/>
        <v>100.44251</v>
      </c>
      <c r="BT203" s="387">
        <f t="shared" si="148"/>
        <v>0</v>
      </c>
      <c r="BU203" s="387">
        <f t="shared" si="149"/>
        <v>42.628859999999996</v>
      </c>
      <c r="BV203" s="387">
        <f t="shared" si="150"/>
        <v>193.64089999999999</v>
      </c>
      <c r="BW203" s="387">
        <f t="shared" si="151"/>
        <v>0</v>
      </c>
      <c r="BX203" s="387">
        <f t="shared" si="166"/>
        <v>3065.7951699999999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-68.261899999999997</v>
      </c>
      <c r="CG203" s="387">
        <f t="shared" si="156"/>
        <v>0</v>
      </c>
      <c r="CH203" s="387">
        <f t="shared" si="157"/>
        <v>0</v>
      </c>
      <c r="CI203" s="387">
        <f t="shared" si="158"/>
        <v>0</v>
      </c>
      <c r="CJ203" s="387">
        <f t="shared" si="171"/>
        <v>-68.261899999999997</v>
      </c>
      <c r="CK203" s="387" t="str">
        <f t="shared" si="172"/>
        <v/>
      </c>
      <c r="CL203" s="387" t="str">
        <f t="shared" si="173"/>
        <v/>
      </c>
      <c r="CM203" s="387" t="str">
        <f t="shared" si="174"/>
        <v/>
      </c>
      <c r="CN203" s="387" t="str">
        <f t="shared" si="175"/>
        <v>0462-00</v>
      </c>
    </row>
    <row r="204" spans="1:92" ht="15.75" thickBot="1" x14ac:dyDescent="0.3">
      <c r="A204" s="376" t="s">
        <v>161</v>
      </c>
      <c r="B204" s="376" t="s">
        <v>162</v>
      </c>
      <c r="C204" s="376" t="s">
        <v>230</v>
      </c>
      <c r="D204" s="376" t="s">
        <v>164</v>
      </c>
      <c r="E204" s="376" t="s">
        <v>788</v>
      </c>
      <c r="F204" s="377" t="s">
        <v>166</v>
      </c>
      <c r="G204" s="376" t="s">
        <v>835</v>
      </c>
      <c r="H204" s="378"/>
      <c r="I204" s="378"/>
      <c r="J204" s="376" t="s">
        <v>231</v>
      </c>
      <c r="K204" s="376" t="s">
        <v>232</v>
      </c>
      <c r="L204" s="376" t="s">
        <v>188</v>
      </c>
      <c r="M204" s="376" t="s">
        <v>171</v>
      </c>
      <c r="N204" s="376" t="s">
        <v>172</v>
      </c>
      <c r="O204" s="379">
        <v>1</v>
      </c>
      <c r="P204" s="385">
        <v>7.0000000000000007E-2</v>
      </c>
      <c r="Q204" s="385">
        <v>7.0000000000000007E-2</v>
      </c>
      <c r="R204" s="380">
        <v>80</v>
      </c>
      <c r="S204" s="385">
        <v>7.0000000000000007E-2</v>
      </c>
      <c r="T204" s="380">
        <v>3515.41</v>
      </c>
      <c r="U204" s="380">
        <v>0</v>
      </c>
      <c r="V204" s="380">
        <v>1539.15</v>
      </c>
      <c r="W204" s="380">
        <v>3503.13</v>
      </c>
      <c r="X204" s="380">
        <v>1603.59</v>
      </c>
      <c r="Y204" s="380">
        <v>3503.13</v>
      </c>
      <c r="Z204" s="380">
        <v>1586.43</v>
      </c>
      <c r="AA204" s="376" t="s">
        <v>233</v>
      </c>
      <c r="AB204" s="376" t="s">
        <v>234</v>
      </c>
      <c r="AC204" s="376" t="s">
        <v>235</v>
      </c>
      <c r="AD204" s="376" t="s">
        <v>236</v>
      </c>
      <c r="AE204" s="376" t="s">
        <v>232</v>
      </c>
      <c r="AF204" s="376" t="s">
        <v>193</v>
      </c>
      <c r="AG204" s="376" t="s">
        <v>178</v>
      </c>
      <c r="AH204" s="381">
        <v>24.06</v>
      </c>
      <c r="AI204" s="379">
        <v>17727</v>
      </c>
      <c r="AJ204" s="376" t="s">
        <v>179</v>
      </c>
      <c r="AK204" s="376" t="s">
        <v>180</v>
      </c>
      <c r="AL204" s="376" t="s">
        <v>181</v>
      </c>
      <c r="AM204" s="376" t="s">
        <v>182</v>
      </c>
      <c r="AN204" s="376" t="s">
        <v>68</v>
      </c>
      <c r="AO204" s="379">
        <v>80</v>
      </c>
      <c r="AP204" s="385">
        <v>1</v>
      </c>
      <c r="AQ204" s="385">
        <v>7.0000000000000007E-2</v>
      </c>
      <c r="AR204" s="383" t="s">
        <v>183</v>
      </c>
      <c r="AS204" s="387">
        <f t="shared" si="159"/>
        <v>7.0000000000000007E-2</v>
      </c>
      <c r="AT204">
        <f t="shared" si="160"/>
        <v>1</v>
      </c>
      <c r="AU204" s="387">
        <f>IF(AT204=0,"",IF(AND(AT204=1,M204="F",SUMIF(C2:C206,C204,AS2:AS206)&lt;=1),SUMIF(C2:C206,C204,AS2:AS206),IF(AND(AT204=1,M204="F",SUMIF(C2:C206,C204,AS2:AS206)&gt;1),1,"")))</f>
        <v>1</v>
      </c>
      <c r="AV204" s="387" t="str">
        <f>IF(AT204=0,"",IF(AND(AT204=3,M204="F",SUMIF(C2:C206,C204,AS2:AS206)&lt;=1),SUMIF(C2:C206,C204,AS2:AS206),IF(AND(AT204=3,M204="F",SUMIF(C2:C206,C204,AS2:AS206)&gt;1),1,"")))</f>
        <v/>
      </c>
      <c r="AW204" s="387">
        <f>SUMIF(C2:C206,C204,O2:O206)</f>
        <v>6</v>
      </c>
      <c r="AX204" s="387">
        <f>IF(AND(M204="F",AS204&lt;&gt;0),SUMIF(C2:C206,C204,W2:W206),0)</f>
        <v>50044.78</v>
      </c>
      <c r="AY204" s="387">
        <f t="shared" si="161"/>
        <v>3503.13</v>
      </c>
      <c r="AZ204" s="387" t="str">
        <f t="shared" si="162"/>
        <v/>
      </c>
      <c r="BA204" s="387">
        <f t="shared" si="163"/>
        <v>0</v>
      </c>
      <c r="BB204" s="387">
        <f t="shared" si="132"/>
        <v>815.50000000000011</v>
      </c>
      <c r="BC204" s="387">
        <f t="shared" si="133"/>
        <v>0</v>
      </c>
      <c r="BD204" s="387">
        <f t="shared" si="134"/>
        <v>217.19406000000001</v>
      </c>
      <c r="BE204" s="387">
        <f t="shared" si="135"/>
        <v>50.795385000000003</v>
      </c>
      <c r="BF204" s="387">
        <f t="shared" si="136"/>
        <v>418.27372200000002</v>
      </c>
      <c r="BG204" s="387">
        <f t="shared" si="137"/>
        <v>25.257567300000002</v>
      </c>
      <c r="BH204" s="387">
        <f t="shared" si="138"/>
        <v>17.165337000000001</v>
      </c>
      <c r="BI204" s="387">
        <f t="shared" si="139"/>
        <v>10.7195778</v>
      </c>
      <c r="BJ204" s="387">
        <f t="shared" si="140"/>
        <v>48.693506999999997</v>
      </c>
      <c r="BK204" s="387">
        <f t="shared" si="141"/>
        <v>0</v>
      </c>
      <c r="BL204" s="387">
        <f t="shared" si="164"/>
        <v>788.09915610000007</v>
      </c>
      <c r="BM204" s="387">
        <f t="shared" si="165"/>
        <v>0</v>
      </c>
      <c r="BN204" s="387">
        <f t="shared" si="142"/>
        <v>815.50000000000011</v>
      </c>
      <c r="BO204" s="387">
        <f t="shared" si="143"/>
        <v>0</v>
      </c>
      <c r="BP204" s="387">
        <f t="shared" si="144"/>
        <v>217.19406000000001</v>
      </c>
      <c r="BQ204" s="387">
        <f t="shared" si="145"/>
        <v>50.795385000000003</v>
      </c>
      <c r="BR204" s="387">
        <f t="shared" si="146"/>
        <v>418.27372200000002</v>
      </c>
      <c r="BS204" s="387">
        <f t="shared" si="147"/>
        <v>25.257567300000002</v>
      </c>
      <c r="BT204" s="387">
        <f t="shared" si="148"/>
        <v>0</v>
      </c>
      <c r="BU204" s="387">
        <f t="shared" si="149"/>
        <v>10.7195778</v>
      </c>
      <c r="BV204" s="387">
        <f t="shared" si="150"/>
        <v>48.693506999999997</v>
      </c>
      <c r="BW204" s="387">
        <f t="shared" si="151"/>
        <v>0</v>
      </c>
      <c r="BX204" s="387">
        <f t="shared" si="166"/>
        <v>770.93381910000005</v>
      </c>
      <c r="BY204" s="387">
        <f t="shared" si="167"/>
        <v>0</v>
      </c>
      <c r="BZ204" s="387">
        <f t="shared" si="168"/>
        <v>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0</v>
      </c>
      <c r="CE204" s="387">
        <f t="shared" si="154"/>
        <v>0</v>
      </c>
      <c r="CF204" s="387">
        <f t="shared" si="155"/>
        <v>-17.165337000000001</v>
      </c>
      <c r="CG204" s="387">
        <f t="shared" si="156"/>
        <v>0</v>
      </c>
      <c r="CH204" s="387">
        <f t="shared" si="157"/>
        <v>0</v>
      </c>
      <c r="CI204" s="387">
        <f t="shared" si="158"/>
        <v>0</v>
      </c>
      <c r="CJ204" s="387">
        <f t="shared" si="171"/>
        <v>-17.165337000000001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0462-00</v>
      </c>
    </row>
    <row r="205" spans="1:92" ht="15.75" thickBot="1" x14ac:dyDescent="0.3">
      <c r="A205" s="376" t="s">
        <v>161</v>
      </c>
      <c r="B205" s="376" t="s">
        <v>162</v>
      </c>
      <c r="C205" s="376" t="s">
        <v>243</v>
      </c>
      <c r="D205" s="376" t="s">
        <v>244</v>
      </c>
      <c r="E205" s="376" t="s">
        <v>788</v>
      </c>
      <c r="F205" s="377" t="s">
        <v>166</v>
      </c>
      <c r="G205" s="376" t="s">
        <v>835</v>
      </c>
      <c r="H205" s="378"/>
      <c r="I205" s="378"/>
      <c r="J205" s="376" t="s">
        <v>219</v>
      </c>
      <c r="K205" s="376" t="s">
        <v>245</v>
      </c>
      <c r="L205" s="376" t="s">
        <v>178</v>
      </c>
      <c r="M205" s="376" t="s">
        <v>171</v>
      </c>
      <c r="N205" s="376" t="s">
        <v>172</v>
      </c>
      <c r="O205" s="379">
        <v>1</v>
      </c>
      <c r="P205" s="385">
        <v>0.05</v>
      </c>
      <c r="Q205" s="385">
        <v>0.05</v>
      </c>
      <c r="R205" s="380">
        <v>80</v>
      </c>
      <c r="S205" s="385">
        <v>0.05</v>
      </c>
      <c r="T205" s="380">
        <v>1476.71</v>
      </c>
      <c r="U205" s="380">
        <v>0</v>
      </c>
      <c r="V205" s="380">
        <v>768.16</v>
      </c>
      <c r="W205" s="380">
        <v>1676.48</v>
      </c>
      <c r="X205" s="380">
        <v>959.65</v>
      </c>
      <c r="Y205" s="380">
        <v>1676.48</v>
      </c>
      <c r="Z205" s="380">
        <v>951.44</v>
      </c>
      <c r="AA205" s="376" t="s">
        <v>246</v>
      </c>
      <c r="AB205" s="376" t="s">
        <v>247</v>
      </c>
      <c r="AC205" s="376" t="s">
        <v>248</v>
      </c>
      <c r="AD205" s="376" t="s">
        <v>249</v>
      </c>
      <c r="AE205" s="376" t="s">
        <v>245</v>
      </c>
      <c r="AF205" s="376" t="s">
        <v>250</v>
      </c>
      <c r="AG205" s="376" t="s">
        <v>178</v>
      </c>
      <c r="AH205" s="381">
        <v>16.12</v>
      </c>
      <c r="AI205" s="379">
        <v>1600</v>
      </c>
      <c r="AJ205" s="376" t="s">
        <v>179</v>
      </c>
      <c r="AK205" s="376" t="s">
        <v>180</v>
      </c>
      <c r="AL205" s="376" t="s">
        <v>181</v>
      </c>
      <c r="AM205" s="376" t="s">
        <v>182</v>
      </c>
      <c r="AN205" s="376" t="s">
        <v>68</v>
      </c>
      <c r="AO205" s="379">
        <v>80</v>
      </c>
      <c r="AP205" s="385">
        <v>1</v>
      </c>
      <c r="AQ205" s="385">
        <v>0.05</v>
      </c>
      <c r="AR205" s="383" t="s">
        <v>183</v>
      </c>
      <c r="AS205" s="387">
        <f t="shared" si="159"/>
        <v>0.05</v>
      </c>
      <c r="AT205">
        <f t="shared" si="160"/>
        <v>1</v>
      </c>
      <c r="AU205" s="387">
        <f>IF(AT205=0,"",IF(AND(AT205=1,M205="F",SUMIF(C2:C206,C205,AS2:AS206)&lt;=1),SUMIF(C2:C206,C205,AS2:AS206),IF(AND(AT205=1,M205="F",SUMIF(C2:C206,C205,AS2:AS206)&gt;1),1,"")))</f>
        <v>1</v>
      </c>
      <c r="AV205" s="387" t="str">
        <f>IF(AT205=0,"",IF(AND(AT205=3,M205="F",SUMIF(C2:C206,C205,AS2:AS206)&lt;=1),SUMIF(C2:C206,C205,AS2:AS206),IF(AND(AT205=3,M205="F",SUMIF(C2:C206,C205,AS2:AS206)&gt;1),1,"")))</f>
        <v/>
      </c>
      <c r="AW205" s="387">
        <f>SUMIF(C2:C206,C205,O2:O206)</f>
        <v>5</v>
      </c>
      <c r="AX205" s="387">
        <f>IF(AND(M205="F",AS205&lt;&gt;0),SUMIF(C2:C206,C205,W2:W206),0)</f>
        <v>33529.589999999997</v>
      </c>
      <c r="AY205" s="387">
        <f t="shared" si="161"/>
        <v>1676.48</v>
      </c>
      <c r="AZ205" s="387" t="str">
        <f t="shared" si="162"/>
        <v/>
      </c>
      <c r="BA205" s="387">
        <f t="shared" si="163"/>
        <v>0</v>
      </c>
      <c r="BB205" s="387">
        <f t="shared" si="132"/>
        <v>582.5</v>
      </c>
      <c r="BC205" s="387">
        <f t="shared" si="133"/>
        <v>0</v>
      </c>
      <c r="BD205" s="387">
        <f t="shared" si="134"/>
        <v>103.94176</v>
      </c>
      <c r="BE205" s="387">
        <f t="shared" si="135"/>
        <v>24.308960000000003</v>
      </c>
      <c r="BF205" s="387">
        <f t="shared" si="136"/>
        <v>200.17171200000001</v>
      </c>
      <c r="BG205" s="387">
        <f t="shared" si="137"/>
        <v>12.0874208</v>
      </c>
      <c r="BH205" s="387">
        <f t="shared" si="138"/>
        <v>8.2147519999999989</v>
      </c>
      <c r="BI205" s="387">
        <f t="shared" si="139"/>
        <v>5.1300287999999998</v>
      </c>
      <c r="BJ205" s="387">
        <f t="shared" si="140"/>
        <v>23.303072</v>
      </c>
      <c r="BK205" s="387">
        <f t="shared" si="141"/>
        <v>0</v>
      </c>
      <c r="BL205" s="387">
        <f t="shared" si="164"/>
        <v>377.15770559999999</v>
      </c>
      <c r="BM205" s="387">
        <f t="shared" si="165"/>
        <v>0</v>
      </c>
      <c r="BN205" s="387">
        <f t="shared" si="142"/>
        <v>582.5</v>
      </c>
      <c r="BO205" s="387">
        <f t="shared" si="143"/>
        <v>0</v>
      </c>
      <c r="BP205" s="387">
        <f t="shared" si="144"/>
        <v>103.94176</v>
      </c>
      <c r="BQ205" s="387">
        <f t="shared" si="145"/>
        <v>24.308960000000003</v>
      </c>
      <c r="BR205" s="387">
        <f t="shared" si="146"/>
        <v>200.17171200000001</v>
      </c>
      <c r="BS205" s="387">
        <f t="shared" si="147"/>
        <v>12.0874208</v>
      </c>
      <c r="BT205" s="387">
        <f t="shared" si="148"/>
        <v>0</v>
      </c>
      <c r="BU205" s="387">
        <f t="shared" si="149"/>
        <v>5.1300287999999998</v>
      </c>
      <c r="BV205" s="387">
        <f t="shared" si="150"/>
        <v>23.303072</v>
      </c>
      <c r="BW205" s="387">
        <f t="shared" si="151"/>
        <v>0</v>
      </c>
      <c r="BX205" s="387">
        <f t="shared" si="166"/>
        <v>368.94295360000001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-8.2147519999999989</v>
      </c>
      <c r="CG205" s="387">
        <f t="shared" si="156"/>
        <v>0</v>
      </c>
      <c r="CH205" s="387">
        <f t="shared" si="157"/>
        <v>0</v>
      </c>
      <c r="CI205" s="387">
        <f t="shared" si="158"/>
        <v>0</v>
      </c>
      <c r="CJ205" s="387">
        <f t="shared" si="171"/>
        <v>-8.2147519999999989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0462-00</v>
      </c>
    </row>
    <row r="206" spans="1:92" ht="15.75" thickBot="1" x14ac:dyDescent="0.3">
      <c r="A206" s="376" t="s">
        <v>161</v>
      </c>
      <c r="B206" s="376" t="s">
        <v>162</v>
      </c>
      <c r="C206" s="376" t="s">
        <v>217</v>
      </c>
      <c r="D206" s="376" t="s">
        <v>218</v>
      </c>
      <c r="E206" s="376" t="s">
        <v>788</v>
      </c>
      <c r="F206" s="377" t="s">
        <v>166</v>
      </c>
      <c r="G206" s="376" t="s">
        <v>835</v>
      </c>
      <c r="H206" s="378"/>
      <c r="I206" s="378"/>
      <c r="J206" s="376" t="s">
        <v>219</v>
      </c>
      <c r="K206" s="376" t="s">
        <v>220</v>
      </c>
      <c r="L206" s="376" t="s">
        <v>188</v>
      </c>
      <c r="M206" s="376" t="s">
        <v>207</v>
      </c>
      <c r="N206" s="376" t="s">
        <v>172</v>
      </c>
      <c r="O206" s="379">
        <v>0</v>
      </c>
      <c r="P206" s="385">
        <v>0.05</v>
      </c>
      <c r="Q206" s="385">
        <v>0.05</v>
      </c>
      <c r="R206" s="380">
        <v>80</v>
      </c>
      <c r="S206" s="385">
        <v>0.05</v>
      </c>
      <c r="T206" s="380">
        <v>237.28</v>
      </c>
      <c r="U206" s="380">
        <v>0</v>
      </c>
      <c r="V206" s="380">
        <v>96.27</v>
      </c>
      <c r="W206" s="380">
        <v>2370.16</v>
      </c>
      <c r="X206" s="380">
        <v>1038.1300000000001</v>
      </c>
      <c r="Y206" s="380">
        <v>2370.16</v>
      </c>
      <c r="Z206" s="380">
        <v>1026.27</v>
      </c>
      <c r="AA206" s="378"/>
      <c r="AB206" s="376" t="s">
        <v>45</v>
      </c>
      <c r="AC206" s="376" t="s">
        <v>45</v>
      </c>
      <c r="AD206" s="378"/>
      <c r="AE206" s="378"/>
      <c r="AF206" s="378"/>
      <c r="AG206" s="378"/>
      <c r="AH206" s="379">
        <v>0</v>
      </c>
      <c r="AI206" s="379">
        <v>0</v>
      </c>
      <c r="AJ206" s="378"/>
      <c r="AK206" s="378"/>
      <c r="AL206" s="376" t="s">
        <v>181</v>
      </c>
      <c r="AM206" s="378"/>
      <c r="AN206" s="378"/>
      <c r="AO206" s="379">
        <v>0</v>
      </c>
      <c r="AP206" s="385">
        <v>0</v>
      </c>
      <c r="AQ206" s="385">
        <v>0</v>
      </c>
      <c r="AR206" s="384"/>
      <c r="AS206" s="387">
        <f t="shared" si="159"/>
        <v>0</v>
      </c>
      <c r="AT206">
        <f t="shared" si="160"/>
        <v>0</v>
      </c>
      <c r="AU206" s="387" t="str">
        <f>IF(AT206=0,"",IF(AND(AT206=1,M206="F",SUMIF(C2:C206,C206,AS2:AS206)&lt;=1),SUMIF(C2:C206,C206,AS2:AS206),IF(AND(AT206=1,M206="F",SUMIF(C2:C206,C206,AS2:AS206)&gt;1),1,"")))</f>
        <v/>
      </c>
      <c r="AV206" s="387" t="str">
        <f>IF(AT206=0,"",IF(AND(AT206=3,M206="F",SUMIF(C2:C206,C206,AS2:AS206)&lt;=1),SUMIF(C2:C206,C206,AS2:AS206),IF(AND(AT206=3,M206="F",SUMIF(C2:C206,C206,AS2:AS206)&gt;1),1,"")))</f>
        <v/>
      </c>
      <c r="AW206" s="387">
        <f>SUMIF(C2:C206,C206,O2:O206)</f>
        <v>0</v>
      </c>
      <c r="AX206" s="387">
        <f>IF(AND(M206="F",AS206&lt;&gt;0),SUMIF(C2:C206,C206,W2:W206),0)</f>
        <v>0</v>
      </c>
      <c r="AY206" s="387" t="str">
        <f t="shared" si="161"/>
        <v/>
      </c>
      <c r="AZ206" s="387" t="str">
        <f t="shared" si="162"/>
        <v/>
      </c>
      <c r="BA206" s="387">
        <f t="shared" si="163"/>
        <v>0</v>
      </c>
      <c r="BB206" s="387">
        <f t="shared" si="132"/>
        <v>0</v>
      </c>
      <c r="BC206" s="387">
        <f t="shared" si="133"/>
        <v>0</v>
      </c>
      <c r="BD206" s="387">
        <f t="shared" si="134"/>
        <v>0</v>
      </c>
      <c r="BE206" s="387">
        <f t="shared" si="135"/>
        <v>0</v>
      </c>
      <c r="BF206" s="387">
        <f t="shared" si="136"/>
        <v>0</v>
      </c>
      <c r="BG206" s="387">
        <f t="shared" si="137"/>
        <v>0</v>
      </c>
      <c r="BH206" s="387">
        <f t="shared" si="138"/>
        <v>0</v>
      </c>
      <c r="BI206" s="387">
        <f t="shared" si="139"/>
        <v>0</v>
      </c>
      <c r="BJ206" s="387">
        <f t="shared" si="140"/>
        <v>0</v>
      </c>
      <c r="BK206" s="387">
        <f t="shared" si="141"/>
        <v>0</v>
      </c>
      <c r="BL206" s="387">
        <f t="shared" si="164"/>
        <v>0</v>
      </c>
      <c r="BM206" s="387">
        <f t="shared" si="165"/>
        <v>0</v>
      </c>
      <c r="BN206" s="387">
        <f t="shared" si="142"/>
        <v>0</v>
      </c>
      <c r="BO206" s="387">
        <f t="shared" si="143"/>
        <v>0</v>
      </c>
      <c r="BP206" s="387">
        <f t="shared" si="144"/>
        <v>0</v>
      </c>
      <c r="BQ206" s="387">
        <f t="shared" si="145"/>
        <v>0</v>
      </c>
      <c r="BR206" s="387">
        <f t="shared" si="146"/>
        <v>0</v>
      </c>
      <c r="BS206" s="387">
        <f t="shared" si="147"/>
        <v>0</v>
      </c>
      <c r="BT206" s="387">
        <f t="shared" si="148"/>
        <v>0</v>
      </c>
      <c r="BU206" s="387">
        <f t="shared" si="149"/>
        <v>0</v>
      </c>
      <c r="BV206" s="387">
        <f t="shared" si="150"/>
        <v>0</v>
      </c>
      <c r="BW206" s="387">
        <f t="shared" si="151"/>
        <v>0</v>
      </c>
      <c r="BX206" s="387">
        <f t="shared" si="166"/>
        <v>0</v>
      </c>
      <c r="BY206" s="387">
        <f t="shared" si="167"/>
        <v>0</v>
      </c>
      <c r="BZ206" s="387">
        <f t="shared" si="168"/>
        <v>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0</v>
      </c>
      <c r="CE206" s="387">
        <f t="shared" si="154"/>
        <v>0</v>
      </c>
      <c r="CF206" s="387">
        <f t="shared" si="155"/>
        <v>0</v>
      </c>
      <c r="CG206" s="387">
        <f t="shared" si="156"/>
        <v>0</v>
      </c>
      <c r="CH206" s="387">
        <f t="shared" si="157"/>
        <v>0</v>
      </c>
      <c r="CI206" s="387">
        <f t="shared" si="158"/>
        <v>0</v>
      </c>
      <c r="CJ206" s="387">
        <f t="shared" si="171"/>
        <v>0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0462-00</v>
      </c>
    </row>
    <row r="208" spans="1:92" ht="21" x14ac:dyDescent="0.35">
      <c r="AQ208" s="251" t="s">
        <v>978</v>
      </c>
    </row>
    <row r="209" spans="43:91" ht="15.75" thickBot="1" x14ac:dyDescent="0.3">
      <c r="AR209" t="s">
        <v>884</v>
      </c>
      <c r="AS209" s="387">
        <f>SUMIFS(AS2:AS206,G2:G206,"ADAA",E2:E206,"0001",F2:F206,"00",AT2:AT206,1)</f>
        <v>1.5</v>
      </c>
      <c r="AT209" s="387">
        <f>SUMIFS(AS2:AS206,G2:G206,"ADAA",E2:E206,"0001",F2:F206,"00",AT2:AT206,3)</f>
        <v>0</v>
      </c>
      <c r="AU209" s="387">
        <f>SUMIFS(AU2:AU206,G2:G206,"ADAA",E2:E206,"0001",F2:F206,"00")</f>
        <v>4</v>
      </c>
      <c r="AV209" s="387">
        <f>SUMIFS(AV2:AV206,G2:G206,"ADAA",E2:E206,"0001",F2:F206,"00")</f>
        <v>0</v>
      </c>
      <c r="AW209" s="387">
        <f>SUMIFS(AW2:AW206,G2:G206,"ADAA",E2:E206,"0001",F2:F206,"00")</f>
        <v>17</v>
      </c>
      <c r="AX209" s="387">
        <f>SUMIFS(AX2:AX206,G2:G206,"ADAA",E2:E206,"0001",F2:F206,"00")</f>
        <v>373671.99</v>
      </c>
      <c r="AY209" s="387">
        <f>SUMIFS(AY2:AY206,G2:G206,"ADAA",E2:E206,"0001",F2:F206,"00")</f>
        <v>121533.36</v>
      </c>
      <c r="AZ209" s="387">
        <f>SUMIFS(AZ2:AZ206,G2:G206,"ADAA",E2:E206,"0001",F2:F206,"00")</f>
        <v>0</v>
      </c>
      <c r="BA209" s="387">
        <f>SUMIFS(BA2:BA206,G2:G206,"ADAA",E2:E206,"0001",F2:F206,"00")</f>
        <v>0</v>
      </c>
      <c r="BB209" s="387">
        <f>SUMIFS(BB2:BB206,G2:G206,"ADAA",E2:E206,"0001",F2:F206,"00")</f>
        <v>17475</v>
      </c>
      <c r="BC209" s="387">
        <f>SUMIFS(BC2:BC206,G2:G206,"ADAA",E2:E206,"0001",F2:F206,"00")</f>
        <v>0</v>
      </c>
      <c r="BD209" s="387">
        <f>SUMIFS(BD2:BD206,G2:G206,"ADAA",E2:E206,"0001",F2:F206,"00")</f>
        <v>7535.0683200000012</v>
      </c>
      <c r="BE209" s="387">
        <f>SUMIFS(BE2:BE206,G2:G206,"ADAA",E2:E206,"0001",F2:F206,"00")</f>
        <v>1762.2337200000002</v>
      </c>
      <c r="BF209" s="387">
        <f>SUMIFS(BF2:BF206,G2:G206,"ADAA",E2:E206,"0001",F2:F206,"00")</f>
        <v>14511.083183999999</v>
      </c>
      <c r="BG209" s="387">
        <f>SUMIFS(BG2:BG206,G2:G206,"ADAA",E2:E206,"0001",F2:F206,"00")</f>
        <v>876.25552560000006</v>
      </c>
      <c r="BH209" s="387">
        <f>SUMIFS(BH2:BH206,G2:G206,"ADAA",E2:E206,"0001",F2:F206,"00")</f>
        <v>433.48614399999997</v>
      </c>
      <c r="BI209" s="387">
        <f>SUMIFS(BI2:BI206,G2:G206,"ADAA",E2:E206,"0001",F2:F206,"00")</f>
        <v>200.873088</v>
      </c>
      <c r="BJ209" s="387">
        <f>SUMIFS(BJ2:BJ206,G2:G206,"ADAA",E2:E206,"0001",F2:F206,"00")</f>
        <v>1689.3137039999999</v>
      </c>
      <c r="BK209" s="387">
        <f>SUMIFS(BK2:BK206,G2:G206,"ADAA",E2:E206,"0001",F2:F206,"00")</f>
        <v>0</v>
      </c>
      <c r="BL209" s="387">
        <f>SUMIFS(BL2:BL206,G2:G206,"ADAA",E2:E206,"0001",F2:F206,"00")</f>
        <v>27008.313685600002</v>
      </c>
      <c r="BM209" s="387">
        <f>SUMIFS(BM2:BM206,G2:G206,"ADAA",E2:E206,"0001",F2:F206,"00")</f>
        <v>0</v>
      </c>
      <c r="BN209" s="387">
        <f>SUMIFS(BN2:BN206,G2:G206,"ADAA",E2:E206,"0001",F2:F206,"00")</f>
        <v>17475</v>
      </c>
      <c r="BO209" s="387">
        <f>SUMIFS(BO2:BO206,G2:G206,"ADAA",E2:E206,"0001",F2:F206,"00")</f>
        <v>0</v>
      </c>
      <c r="BP209" s="387">
        <f>SUMIFS(BP2:BP206,G2:G206,"ADAA",E2:E206,"0001",F2:F206,"00")</f>
        <v>7535.0683200000012</v>
      </c>
      <c r="BQ209" s="387">
        <f>SUMIFS(BQ2:BQ206,G2:G206,"ADAA",E2:E206,"0001",F2:F206,"00")</f>
        <v>1762.2337200000002</v>
      </c>
      <c r="BR209" s="387">
        <f>SUMIFS(BR2:BR206,G2:G206,"ADAA",E2:E206,"0001",F2:F206,"00")</f>
        <v>14511.083183999999</v>
      </c>
      <c r="BS209" s="387">
        <f>SUMIFS(BS2:BS206,G2:G206,"ADAA",E2:E206,"0001",F2:F206,"00")</f>
        <v>876.25552560000006</v>
      </c>
      <c r="BT209" s="387">
        <f>SUMIFS(BT2:BT206,G2:G206,"ADAA",E2:E206,"0001",F2:F206,"00")</f>
        <v>0</v>
      </c>
      <c r="BU209" s="387">
        <f>SUMIFS(BU2:BU206,G2:G206,"ADAA",E2:E206,"0001",F2:F206,"00")</f>
        <v>200.873088</v>
      </c>
      <c r="BV209" s="387">
        <f>SUMIFS(BV2:BV206,G2:G206,"ADAA",E2:E206,"0001",F2:F206,"00")</f>
        <v>1689.3137039999999</v>
      </c>
      <c r="BW209" s="387">
        <f>SUMIFS(BW2:BW206,G2:G206,"ADAA",E2:E206,"0001",F2:F206,"00")</f>
        <v>0</v>
      </c>
      <c r="BX209" s="387">
        <f>SUMIFS(BX2:BX206,G2:G206,"ADAA",E2:E206,"0001",F2:F206,"00")</f>
        <v>26574.8275416</v>
      </c>
      <c r="BY209" s="387">
        <f>SUMIFS(BY2:BY206,G2:G206,"ADAA",E2:E206,"0001",F2:F206,"00")</f>
        <v>0</v>
      </c>
      <c r="BZ209" s="387">
        <f>SUMIFS(BZ2:BZ206,G2:G206,"ADAA",E2:E206,"0001",F2:F206,"00")</f>
        <v>0</v>
      </c>
      <c r="CA209" s="387">
        <f>SUMIFS(CA2:CA206,G2:G206,"ADAA",E2:E206,"0001",F2:F206,"00")</f>
        <v>0</v>
      </c>
      <c r="CB209" s="387">
        <f>SUMIFS(CB2:CB206,G2:G206,"ADAA",E2:E206,"0001",F2:F206,"00")</f>
        <v>0</v>
      </c>
      <c r="CC209" s="387">
        <f>SUMIFS(CC2:CC206,G2:G206,"ADAA",E2:E206,"0001",F2:F206,"00")</f>
        <v>0</v>
      </c>
      <c r="CD209" s="387">
        <f>SUMIFS(CD2:CD206,G2:G206,"ADAA",E2:E206,"0001",F2:F206,"00")</f>
        <v>0</v>
      </c>
      <c r="CE209" s="387">
        <f>SUMIFS(CE2:CE206,G2:G206,"ADAA",E2:E206,"0001",F2:F206,"00")</f>
        <v>0</v>
      </c>
      <c r="CF209" s="387">
        <f>SUMIFS(CF2:CF206,G2:G206,"ADAA",E2:E206,"0001",F2:F206,"00")</f>
        <v>-433.48614399999997</v>
      </c>
      <c r="CG209" s="387">
        <f>SUMIFS(CG2:CG206,G2:G206,"ADAA",E2:E206,"0001",F2:F206,"00")</f>
        <v>0</v>
      </c>
      <c r="CH209" s="387">
        <f>SUMIFS(CH2:CH206,G2:G206,"ADAA",E2:E206,"0001",F2:F206,"00")</f>
        <v>0</v>
      </c>
      <c r="CI209" s="387">
        <f>SUMIFS(CI2:CI206,G2:G206,"ADAA",E2:E206,"0001",F2:F206,"00")</f>
        <v>0</v>
      </c>
      <c r="CJ209" s="387">
        <f>SUMIFS(CJ2:CJ206,G2:G206,"ADAA",E2:E206,"0001",F2:F206,"00")</f>
        <v>-433.48614399999997</v>
      </c>
      <c r="CK209" s="387">
        <f>SUMIFS(CK2:CK206,G2:G206,"ADAA",E2:E206,"0001",F2:F206,"00")</f>
        <v>0</v>
      </c>
      <c r="CL209" s="387">
        <f>SUMIFS(CL2:CL206,G2:G206,"ADAA",E2:E206,"0001",F2:F206,"00")</f>
        <v>0</v>
      </c>
      <c r="CM209" s="387">
        <f>SUMIFS(CM2:CM206,G2:G206,"ADAA",E2:E206,"0001",F2:F206,"00")</f>
        <v>0</v>
      </c>
    </row>
    <row r="210" spans="43:91" ht="18.75" x14ac:dyDescent="0.3">
      <c r="AQ210" s="393" t="s">
        <v>885</v>
      </c>
      <c r="AS210" s="394">
        <f t="shared" ref="AS210:CM210" si="176">SUM(AS209:AS209)</f>
        <v>1.5</v>
      </c>
      <c r="AT210" s="394">
        <f t="shared" si="176"/>
        <v>0</v>
      </c>
      <c r="AU210" s="394">
        <f t="shared" si="176"/>
        <v>4</v>
      </c>
      <c r="AV210" s="394">
        <f t="shared" si="176"/>
        <v>0</v>
      </c>
      <c r="AW210" s="394">
        <f t="shared" si="176"/>
        <v>17</v>
      </c>
      <c r="AX210" s="394">
        <f t="shared" si="176"/>
        <v>373671.99</v>
      </c>
      <c r="AY210" s="394">
        <f t="shared" si="176"/>
        <v>121533.36</v>
      </c>
      <c r="AZ210" s="394">
        <f t="shared" si="176"/>
        <v>0</v>
      </c>
      <c r="BA210" s="394">
        <f t="shared" si="176"/>
        <v>0</v>
      </c>
      <c r="BB210" s="394">
        <f t="shared" si="176"/>
        <v>17475</v>
      </c>
      <c r="BC210" s="394">
        <f t="shared" si="176"/>
        <v>0</v>
      </c>
      <c r="BD210" s="394">
        <f t="shared" si="176"/>
        <v>7535.0683200000012</v>
      </c>
      <c r="BE210" s="394">
        <f t="shared" si="176"/>
        <v>1762.2337200000002</v>
      </c>
      <c r="BF210" s="394">
        <f t="shared" si="176"/>
        <v>14511.083183999999</v>
      </c>
      <c r="BG210" s="394">
        <f t="shared" si="176"/>
        <v>876.25552560000006</v>
      </c>
      <c r="BH210" s="394">
        <f t="shared" si="176"/>
        <v>433.48614399999997</v>
      </c>
      <c r="BI210" s="394">
        <f t="shared" si="176"/>
        <v>200.873088</v>
      </c>
      <c r="BJ210" s="394">
        <f t="shared" si="176"/>
        <v>1689.3137039999999</v>
      </c>
      <c r="BK210" s="394">
        <f t="shared" si="176"/>
        <v>0</v>
      </c>
      <c r="BL210" s="394">
        <f t="shared" si="176"/>
        <v>27008.313685600002</v>
      </c>
      <c r="BM210" s="394">
        <f t="shared" si="176"/>
        <v>0</v>
      </c>
      <c r="BN210" s="394">
        <f t="shared" si="176"/>
        <v>17475</v>
      </c>
      <c r="BO210" s="394">
        <f t="shared" si="176"/>
        <v>0</v>
      </c>
      <c r="BP210" s="394">
        <f t="shared" si="176"/>
        <v>7535.0683200000012</v>
      </c>
      <c r="BQ210" s="394">
        <f t="shared" si="176"/>
        <v>1762.2337200000002</v>
      </c>
      <c r="BR210" s="394">
        <f t="shared" si="176"/>
        <v>14511.083183999999</v>
      </c>
      <c r="BS210" s="394">
        <f t="shared" si="176"/>
        <v>876.25552560000006</v>
      </c>
      <c r="BT210" s="394">
        <f t="shared" si="176"/>
        <v>0</v>
      </c>
      <c r="BU210" s="394">
        <f t="shared" si="176"/>
        <v>200.873088</v>
      </c>
      <c r="BV210" s="394">
        <f t="shared" si="176"/>
        <v>1689.3137039999999</v>
      </c>
      <c r="BW210" s="394">
        <f t="shared" si="176"/>
        <v>0</v>
      </c>
      <c r="BX210" s="394">
        <f t="shared" si="176"/>
        <v>26574.8275416</v>
      </c>
      <c r="BY210" s="394">
        <f t="shared" si="176"/>
        <v>0</v>
      </c>
      <c r="BZ210" s="394">
        <f t="shared" si="176"/>
        <v>0</v>
      </c>
      <c r="CA210" s="394">
        <f t="shared" si="176"/>
        <v>0</v>
      </c>
      <c r="CB210" s="394">
        <f t="shared" si="176"/>
        <v>0</v>
      </c>
      <c r="CC210" s="394">
        <f t="shared" si="176"/>
        <v>0</v>
      </c>
      <c r="CD210" s="394">
        <f t="shared" si="176"/>
        <v>0</v>
      </c>
      <c r="CE210" s="394">
        <f t="shared" si="176"/>
        <v>0</v>
      </c>
      <c r="CF210" s="394">
        <f t="shared" si="176"/>
        <v>-433.48614399999997</v>
      </c>
      <c r="CG210" s="394">
        <f t="shared" si="176"/>
        <v>0</v>
      </c>
      <c r="CH210" s="394">
        <f t="shared" si="176"/>
        <v>0</v>
      </c>
      <c r="CI210" s="394">
        <f t="shared" si="176"/>
        <v>0</v>
      </c>
      <c r="CJ210" s="394">
        <f t="shared" si="176"/>
        <v>-433.48614399999997</v>
      </c>
      <c r="CK210" s="394">
        <f t="shared" si="176"/>
        <v>0</v>
      </c>
      <c r="CL210" s="394">
        <f t="shared" si="176"/>
        <v>0</v>
      </c>
      <c r="CM210" s="394">
        <f t="shared" si="176"/>
        <v>0</v>
      </c>
    </row>
    <row r="211" spans="43:91" ht="15.75" thickBot="1" x14ac:dyDescent="0.3">
      <c r="AR211" t="s">
        <v>892</v>
      </c>
      <c r="AS211" s="387">
        <f>SUMIFS(AS2:AS206,G2:G206,"ADAA",E2:E206,"0365",F2:F206,"00",AT2:AT206,1)</f>
        <v>1.04</v>
      </c>
      <c r="AT211" s="387">
        <f>SUMIFS(AS2:AS206,G2:G206,"ADAA",E2:E206,"0365",F2:F206,"00",AT2:AT206,3)</f>
        <v>0</v>
      </c>
      <c r="AU211" s="387">
        <f>SUMIFS(AU2:AU206,G2:G206,"ADAA",E2:E206,"0365",F2:F206,"00")</f>
        <v>7</v>
      </c>
      <c r="AV211" s="387">
        <f>SUMIFS(AV2:AV206,G2:G206,"ADAA",E2:E206,"0365",F2:F206,"00")</f>
        <v>0</v>
      </c>
      <c r="AW211" s="387">
        <f>SUMIFS(AW2:AW206,G2:G206,"ADAA",E2:E206,"0365",F2:F206,"00")</f>
        <v>35</v>
      </c>
      <c r="AX211" s="387">
        <f>SUMIFS(AX2:AX206,G2:G206,"ADAA",E2:E206,"0365",F2:F206,"00")</f>
        <v>535599.93999999994</v>
      </c>
      <c r="AY211" s="387">
        <f>SUMIFS(AY2:AY206,G2:G206,"ADAA",E2:E206,"0365",F2:F206,"00")</f>
        <v>67512.84</v>
      </c>
      <c r="AZ211" s="387">
        <f>SUMIFS(AZ2:AZ206,G2:G206,"ADAA",E2:E206,"0365",F2:F206,"00")</f>
        <v>0</v>
      </c>
      <c r="BA211" s="387">
        <f>SUMIFS(BA2:BA206,G2:G206,"ADAA",E2:E206,"0365",F2:F206,"00")</f>
        <v>0</v>
      </c>
      <c r="BB211" s="387">
        <f>SUMIFS(BB2:BB206,G2:G206,"ADAA",E2:E206,"0365",F2:F206,"00")</f>
        <v>12116</v>
      </c>
      <c r="BC211" s="387">
        <f>SUMIFS(BC2:BC206,G2:G206,"ADAA",E2:E206,"0365",F2:F206,"00")</f>
        <v>0</v>
      </c>
      <c r="BD211" s="387">
        <f>SUMIFS(BD2:BD206,G2:G206,"ADAA",E2:E206,"0365",F2:F206,"00")</f>
        <v>4185.7960800000001</v>
      </c>
      <c r="BE211" s="387">
        <f>SUMIFS(BE2:BE206,G2:G206,"ADAA",E2:E206,"0365",F2:F206,"00")</f>
        <v>978.93618000000015</v>
      </c>
      <c r="BF211" s="387">
        <f>SUMIFS(BF2:BF206,G2:G206,"ADAA",E2:E206,"0365",F2:F206,"00")</f>
        <v>8061.033096000001</v>
      </c>
      <c r="BG211" s="387">
        <f>SUMIFS(BG2:BG206,G2:G206,"ADAA",E2:E206,"0365",F2:F206,"00")</f>
        <v>486.7675764</v>
      </c>
      <c r="BH211" s="387">
        <f>SUMIFS(BH2:BH206,G2:G206,"ADAA",E2:E206,"0365",F2:F206,"00")</f>
        <v>291.92636899999997</v>
      </c>
      <c r="BI211" s="387">
        <f>SUMIFS(BI2:BI206,G2:G206,"ADAA",E2:E206,"0365",F2:F206,"00")</f>
        <v>164.84639219999997</v>
      </c>
      <c r="BJ211" s="387">
        <f>SUMIFS(BJ2:BJ206,G2:G206,"ADAA",E2:E206,"0365",F2:F206,"00")</f>
        <v>938.42847599999993</v>
      </c>
      <c r="BK211" s="387">
        <f>SUMIFS(BK2:BK206,G2:G206,"ADAA",E2:E206,"0365",F2:F206,"00")</f>
        <v>0</v>
      </c>
      <c r="BL211" s="387">
        <f>SUMIFS(BL2:BL206,G2:G206,"ADAA",E2:E206,"0365",F2:F206,"00")</f>
        <v>15107.7341696</v>
      </c>
      <c r="BM211" s="387">
        <f>SUMIFS(BM2:BM206,G2:G206,"ADAA",E2:E206,"0365",F2:F206,"00")</f>
        <v>0</v>
      </c>
      <c r="BN211" s="387">
        <f>SUMIFS(BN2:BN206,G2:G206,"ADAA",E2:E206,"0365",F2:F206,"00")</f>
        <v>12116</v>
      </c>
      <c r="BO211" s="387">
        <f>SUMIFS(BO2:BO206,G2:G206,"ADAA",E2:E206,"0365",F2:F206,"00")</f>
        <v>0</v>
      </c>
      <c r="BP211" s="387">
        <f>SUMIFS(BP2:BP206,G2:G206,"ADAA",E2:E206,"0365",F2:F206,"00")</f>
        <v>4185.7960800000001</v>
      </c>
      <c r="BQ211" s="387">
        <f>SUMIFS(BQ2:BQ206,G2:G206,"ADAA",E2:E206,"0365",F2:F206,"00")</f>
        <v>978.93618000000015</v>
      </c>
      <c r="BR211" s="387">
        <f>SUMIFS(BR2:BR206,G2:G206,"ADAA",E2:E206,"0365",F2:F206,"00")</f>
        <v>8061.033096000001</v>
      </c>
      <c r="BS211" s="387">
        <f>SUMIFS(BS2:BS206,G2:G206,"ADAA",E2:E206,"0365",F2:F206,"00")</f>
        <v>486.7675764</v>
      </c>
      <c r="BT211" s="387">
        <f>SUMIFS(BT2:BT206,G2:G206,"ADAA",E2:E206,"0365",F2:F206,"00")</f>
        <v>0</v>
      </c>
      <c r="BU211" s="387">
        <f>SUMIFS(BU2:BU206,G2:G206,"ADAA",E2:E206,"0365",F2:F206,"00")</f>
        <v>164.84639219999997</v>
      </c>
      <c r="BV211" s="387">
        <f>SUMIFS(BV2:BV206,G2:G206,"ADAA",E2:E206,"0365",F2:F206,"00")</f>
        <v>938.42847599999993</v>
      </c>
      <c r="BW211" s="387">
        <f>SUMIFS(BW2:BW206,G2:G206,"ADAA",E2:E206,"0365",F2:F206,"00")</f>
        <v>0</v>
      </c>
      <c r="BX211" s="387">
        <f>SUMIFS(BX2:BX206,G2:G206,"ADAA",E2:E206,"0365",F2:F206,"00")</f>
        <v>14815.8078006</v>
      </c>
      <c r="BY211" s="387">
        <f>SUMIFS(BY2:BY206,G2:G206,"ADAA",E2:E206,"0365",F2:F206,"00")</f>
        <v>0</v>
      </c>
      <c r="BZ211" s="387">
        <f>SUMIFS(BZ2:BZ206,G2:G206,"ADAA",E2:E206,"0365",F2:F206,"00")</f>
        <v>0</v>
      </c>
      <c r="CA211" s="387">
        <f>SUMIFS(CA2:CA206,G2:G206,"ADAA",E2:E206,"0365",F2:F206,"00")</f>
        <v>0</v>
      </c>
      <c r="CB211" s="387">
        <f>SUMIFS(CB2:CB206,G2:G206,"ADAA",E2:E206,"0365",F2:F206,"00")</f>
        <v>0</v>
      </c>
      <c r="CC211" s="387">
        <f>SUMIFS(CC2:CC206,G2:G206,"ADAA",E2:E206,"0365",F2:F206,"00")</f>
        <v>0</v>
      </c>
      <c r="CD211" s="387">
        <f>SUMIFS(CD2:CD206,G2:G206,"ADAA",E2:E206,"0365",F2:F206,"00")</f>
        <v>0</v>
      </c>
      <c r="CE211" s="387">
        <f>SUMIFS(CE2:CE206,G2:G206,"ADAA",E2:E206,"0365",F2:F206,"00")</f>
        <v>0</v>
      </c>
      <c r="CF211" s="387">
        <f>SUMIFS(CF2:CF206,G2:G206,"ADAA",E2:E206,"0365",F2:F206,"00")</f>
        <v>-291.92636899999997</v>
      </c>
      <c r="CG211" s="387">
        <f>SUMIFS(CG2:CG206,G2:G206,"ADAA",E2:E206,"0365",F2:F206,"00")</f>
        <v>0</v>
      </c>
      <c r="CH211" s="387">
        <f>SUMIFS(CH2:CH206,G2:G206,"ADAA",E2:E206,"0365",F2:F206,"00")</f>
        <v>0</v>
      </c>
      <c r="CI211" s="387">
        <f>SUMIFS(CI2:CI206,G2:G206,"ADAA",E2:E206,"0365",F2:F206,"00")</f>
        <v>0</v>
      </c>
      <c r="CJ211" s="387">
        <f>SUMIFS(CJ2:CJ206,G2:G206,"ADAA",E2:E206,"0365",F2:F206,"00")</f>
        <v>-291.92636899999997</v>
      </c>
      <c r="CK211" s="387">
        <f>SUMIFS(CK2:CK206,G2:G206,"ADAA",E2:E206,"0365",F2:F206,"00")</f>
        <v>0</v>
      </c>
      <c r="CL211" s="387">
        <f>SUMIFS(CL2:CL206,G2:G206,"ADAA",E2:E206,"0365",F2:F206,"00")</f>
        <v>0</v>
      </c>
      <c r="CM211" s="387">
        <f>SUMIFS(CM2:CM206,G2:G206,"ADAA",E2:E206,"0365",F2:F206,"00")</f>
        <v>0</v>
      </c>
    </row>
    <row r="212" spans="43:91" ht="18.75" x14ac:dyDescent="0.3">
      <c r="AQ212" s="393" t="s">
        <v>893</v>
      </c>
      <c r="AS212" s="394">
        <f t="shared" ref="AS212:CM212" si="177">SUM(AS211:AS211)</f>
        <v>1.04</v>
      </c>
      <c r="AT212" s="394">
        <f t="shared" si="177"/>
        <v>0</v>
      </c>
      <c r="AU212" s="394">
        <f t="shared" si="177"/>
        <v>7</v>
      </c>
      <c r="AV212" s="394">
        <f t="shared" si="177"/>
        <v>0</v>
      </c>
      <c r="AW212" s="394">
        <f t="shared" si="177"/>
        <v>35</v>
      </c>
      <c r="AX212" s="394">
        <f t="shared" si="177"/>
        <v>535599.93999999994</v>
      </c>
      <c r="AY212" s="394">
        <f t="shared" si="177"/>
        <v>67512.84</v>
      </c>
      <c r="AZ212" s="394">
        <f t="shared" si="177"/>
        <v>0</v>
      </c>
      <c r="BA212" s="394">
        <f t="shared" si="177"/>
        <v>0</v>
      </c>
      <c r="BB212" s="394">
        <f t="shared" si="177"/>
        <v>12116</v>
      </c>
      <c r="BC212" s="394">
        <f t="shared" si="177"/>
        <v>0</v>
      </c>
      <c r="BD212" s="394">
        <f t="shared" si="177"/>
        <v>4185.7960800000001</v>
      </c>
      <c r="BE212" s="394">
        <f t="shared" si="177"/>
        <v>978.93618000000015</v>
      </c>
      <c r="BF212" s="394">
        <f t="shared" si="177"/>
        <v>8061.033096000001</v>
      </c>
      <c r="BG212" s="394">
        <f t="shared" si="177"/>
        <v>486.7675764</v>
      </c>
      <c r="BH212" s="394">
        <f t="shared" si="177"/>
        <v>291.92636899999997</v>
      </c>
      <c r="BI212" s="394">
        <f t="shared" si="177"/>
        <v>164.84639219999997</v>
      </c>
      <c r="BJ212" s="394">
        <f t="shared" si="177"/>
        <v>938.42847599999993</v>
      </c>
      <c r="BK212" s="394">
        <f t="shared" si="177"/>
        <v>0</v>
      </c>
      <c r="BL212" s="394">
        <f t="shared" si="177"/>
        <v>15107.7341696</v>
      </c>
      <c r="BM212" s="394">
        <f t="shared" si="177"/>
        <v>0</v>
      </c>
      <c r="BN212" s="394">
        <f t="shared" si="177"/>
        <v>12116</v>
      </c>
      <c r="BO212" s="394">
        <f t="shared" si="177"/>
        <v>0</v>
      </c>
      <c r="BP212" s="394">
        <f t="shared" si="177"/>
        <v>4185.7960800000001</v>
      </c>
      <c r="BQ212" s="394">
        <f t="shared" si="177"/>
        <v>978.93618000000015</v>
      </c>
      <c r="BR212" s="394">
        <f t="shared" si="177"/>
        <v>8061.033096000001</v>
      </c>
      <c r="BS212" s="394">
        <f t="shared" si="177"/>
        <v>486.7675764</v>
      </c>
      <c r="BT212" s="394">
        <f t="shared" si="177"/>
        <v>0</v>
      </c>
      <c r="BU212" s="394">
        <f t="shared" si="177"/>
        <v>164.84639219999997</v>
      </c>
      <c r="BV212" s="394">
        <f t="shared" si="177"/>
        <v>938.42847599999993</v>
      </c>
      <c r="BW212" s="394">
        <f t="shared" si="177"/>
        <v>0</v>
      </c>
      <c r="BX212" s="394">
        <f t="shared" si="177"/>
        <v>14815.8078006</v>
      </c>
      <c r="BY212" s="394">
        <f t="shared" si="177"/>
        <v>0</v>
      </c>
      <c r="BZ212" s="394">
        <f t="shared" si="177"/>
        <v>0</v>
      </c>
      <c r="CA212" s="394">
        <f t="shared" si="177"/>
        <v>0</v>
      </c>
      <c r="CB212" s="394">
        <f t="shared" si="177"/>
        <v>0</v>
      </c>
      <c r="CC212" s="394">
        <f t="shared" si="177"/>
        <v>0</v>
      </c>
      <c r="CD212" s="394">
        <f t="shared" si="177"/>
        <v>0</v>
      </c>
      <c r="CE212" s="394">
        <f t="shared" si="177"/>
        <v>0</v>
      </c>
      <c r="CF212" s="394">
        <f t="shared" si="177"/>
        <v>-291.92636899999997</v>
      </c>
      <c r="CG212" s="394">
        <f t="shared" si="177"/>
        <v>0</v>
      </c>
      <c r="CH212" s="394">
        <f t="shared" si="177"/>
        <v>0</v>
      </c>
      <c r="CI212" s="394">
        <f t="shared" si="177"/>
        <v>0</v>
      </c>
      <c r="CJ212" s="394">
        <f t="shared" si="177"/>
        <v>-291.92636899999997</v>
      </c>
      <c r="CK212" s="394">
        <f t="shared" si="177"/>
        <v>0</v>
      </c>
      <c r="CL212" s="394">
        <f t="shared" si="177"/>
        <v>0</v>
      </c>
      <c r="CM212" s="394">
        <f t="shared" si="177"/>
        <v>0</v>
      </c>
    </row>
    <row r="213" spans="43:91" x14ac:dyDescent="0.25">
      <c r="AR213" t="s">
        <v>898</v>
      </c>
      <c r="AS213" s="387">
        <f>SUMIFS(AS2:AS206,G2:G206,"ADAA",E2:E206,"0450",F2:F206,"00",AT2:AT206,1)</f>
        <v>0</v>
      </c>
      <c r="AT213" s="387">
        <f>SUMIFS(AS2:AS206,G2:G206,"ADAA",E2:E206,"0450",F2:F206,"00",AT2:AT206,3)</f>
        <v>0</v>
      </c>
      <c r="AU213" s="387">
        <f>SUMIFS(AU2:AU206,G2:G206,"ADAA",E2:E206,"0450",F2:F206,"00")</f>
        <v>0</v>
      </c>
      <c r="AV213" s="387">
        <f>SUMIFS(AV2:AV206,G2:G206,"ADAA",E2:E206,"0450",F2:F206,"00")</f>
        <v>0</v>
      </c>
      <c r="AW213" s="387">
        <f>SUMIFS(AW2:AW206,G2:G206,"ADAA",E2:E206,"0450",F2:F206,"00")</f>
        <v>0</v>
      </c>
      <c r="AX213" s="387">
        <f>SUMIFS(AX2:AX206,G2:G206,"ADAA",E2:E206,"0450",F2:F206,"00")</f>
        <v>0</v>
      </c>
      <c r="AY213" s="387">
        <f>SUMIFS(AY2:AY206,G2:G206,"ADAA",E2:E206,"0450",F2:F206,"00")</f>
        <v>0</v>
      </c>
      <c r="AZ213" s="387">
        <f>SUMIFS(AZ2:AZ206,G2:G206,"ADAA",E2:E206,"0450",F2:F206,"00")</f>
        <v>0</v>
      </c>
      <c r="BA213" s="387">
        <f>SUMIFS(BA2:BA206,G2:G206,"ADAA",E2:E206,"0450",F2:F206,"00")</f>
        <v>0</v>
      </c>
      <c r="BB213" s="387">
        <f>SUMIFS(BB2:BB206,G2:G206,"ADAA",E2:E206,"0450",F2:F206,"00")</f>
        <v>0</v>
      </c>
      <c r="BC213" s="387">
        <f>SUMIFS(BC2:BC206,G2:G206,"ADAA",E2:E206,"0450",F2:F206,"00")</f>
        <v>0</v>
      </c>
      <c r="BD213" s="387">
        <f>SUMIFS(BD2:BD206,G2:G206,"ADAA",E2:E206,"0450",F2:F206,"00")</f>
        <v>0</v>
      </c>
      <c r="BE213" s="387">
        <f>SUMIFS(BE2:BE206,G2:G206,"ADAA",E2:E206,"0450",F2:F206,"00")</f>
        <v>0</v>
      </c>
      <c r="BF213" s="387">
        <f>SUMIFS(BF2:BF206,G2:G206,"ADAA",E2:E206,"0450",F2:F206,"00")</f>
        <v>0</v>
      </c>
      <c r="BG213" s="387">
        <f>SUMIFS(BG2:BG206,G2:G206,"ADAA",E2:E206,"0450",F2:F206,"00")</f>
        <v>0</v>
      </c>
      <c r="BH213" s="387">
        <f>SUMIFS(BH2:BH206,G2:G206,"ADAA",E2:E206,"0450",F2:F206,"00")</f>
        <v>0</v>
      </c>
      <c r="BI213" s="387">
        <f>SUMIFS(BI2:BI206,G2:G206,"ADAA",E2:E206,"0450",F2:F206,"00")</f>
        <v>0</v>
      </c>
      <c r="BJ213" s="387">
        <f>SUMIFS(BJ2:BJ206,G2:G206,"ADAA",E2:E206,"0450",F2:F206,"00")</f>
        <v>0</v>
      </c>
      <c r="BK213" s="387">
        <f>SUMIFS(BK2:BK206,G2:G206,"ADAA",E2:E206,"0450",F2:F206,"00")</f>
        <v>0</v>
      </c>
      <c r="BL213" s="387">
        <f>SUMIFS(BL2:BL206,G2:G206,"ADAA",E2:E206,"0450",F2:F206,"00")</f>
        <v>0</v>
      </c>
      <c r="BM213" s="387">
        <f>SUMIFS(BM2:BM206,G2:G206,"ADAA",E2:E206,"0450",F2:F206,"00")</f>
        <v>0</v>
      </c>
      <c r="BN213" s="387">
        <f>SUMIFS(BN2:BN206,G2:G206,"ADAA",E2:E206,"0450",F2:F206,"00")</f>
        <v>0</v>
      </c>
      <c r="BO213" s="387">
        <f>SUMIFS(BO2:BO206,G2:G206,"ADAA",E2:E206,"0450",F2:F206,"00")</f>
        <v>0</v>
      </c>
      <c r="BP213" s="387">
        <f>SUMIFS(BP2:BP206,G2:G206,"ADAA",E2:E206,"0450",F2:F206,"00")</f>
        <v>0</v>
      </c>
      <c r="BQ213" s="387">
        <f>SUMIFS(BQ2:BQ206,G2:G206,"ADAA",E2:E206,"0450",F2:F206,"00")</f>
        <v>0</v>
      </c>
      <c r="BR213" s="387">
        <f>SUMIFS(BR2:BR206,G2:G206,"ADAA",E2:E206,"0450",F2:F206,"00")</f>
        <v>0</v>
      </c>
      <c r="BS213" s="387">
        <f>SUMIFS(BS2:BS206,G2:G206,"ADAA",E2:E206,"0450",F2:F206,"00")</f>
        <v>0</v>
      </c>
      <c r="BT213" s="387">
        <f>SUMIFS(BT2:BT206,G2:G206,"ADAA",E2:E206,"0450",F2:F206,"00")</f>
        <v>0</v>
      </c>
      <c r="BU213" s="387">
        <f>SUMIFS(BU2:BU206,G2:G206,"ADAA",E2:E206,"0450",F2:F206,"00")</f>
        <v>0</v>
      </c>
      <c r="BV213" s="387">
        <f>SUMIFS(BV2:BV206,G2:G206,"ADAA",E2:E206,"0450",F2:F206,"00")</f>
        <v>0</v>
      </c>
      <c r="BW213" s="387">
        <f>SUMIFS(BW2:BW206,G2:G206,"ADAA",E2:E206,"0450",F2:F206,"00")</f>
        <v>0</v>
      </c>
      <c r="BX213" s="387">
        <f>SUMIFS(BX2:BX206,G2:G206,"ADAA",E2:E206,"0450",F2:F206,"00")</f>
        <v>0</v>
      </c>
      <c r="BY213" s="387">
        <f>SUMIFS(BY2:BY206,G2:G206,"ADAA",E2:E206,"0450",F2:F206,"00")</f>
        <v>0</v>
      </c>
      <c r="BZ213" s="387">
        <f>SUMIFS(BZ2:BZ206,G2:G206,"ADAA",E2:E206,"0450",F2:F206,"00")</f>
        <v>0</v>
      </c>
      <c r="CA213" s="387">
        <f>SUMIFS(CA2:CA206,G2:G206,"ADAA",E2:E206,"0450",F2:F206,"00")</f>
        <v>0</v>
      </c>
      <c r="CB213" s="387">
        <f>SUMIFS(CB2:CB206,G2:G206,"ADAA",E2:E206,"0450",F2:F206,"00")</f>
        <v>0</v>
      </c>
      <c r="CC213" s="387">
        <f>SUMIFS(CC2:CC206,G2:G206,"ADAA",E2:E206,"0450",F2:F206,"00")</f>
        <v>0</v>
      </c>
      <c r="CD213" s="387">
        <f>SUMIFS(CD2:CD206,G2:G206,"ADAA",E2:E206,"0450",F2:F206,"00")</f>
        <v>0</v>
      </c>
      <c r="CE213" s="387">
        <f>SUMIFS(CE2:CE206,G2:G206,"ADAA",E2:E206,"0450",F2:F206,"00")</f>
        <v>0</v>
      </c>
      <c r="CF213" s="387">
        <f>SUMIFS(CF2:CF206,G2:G206,"ADAA",E2:E206,"0450",F2:F206,"00")</f>
        <v>0</v>
      </c>
      <c r="CG213" s="387">
        <f>SUMIFS(CG2:CG206,G2:G206,"ADAA",E2:E206,"0450",F2:F206,"00")</f>
        <v>0</v>
      </c>
      <c r="CH213" s="387">
        <f>SUMIFS(CH2:CH206,G2:G206,"ADAA",E2:E206,"0450",F2:F206,"00")</f>
        <v>0</v>
      </c>
      <c r="CI213" s="387">
        <f>SUMIFS(CI2:CI206,G2:G206,"ADAA",E2:E206,"0450",F2:F206,"00")</f>
        <v>0</v>
      </c>
      <c r="CJ213" s="387">
        <f>SUMIFS(CJ2:CJ206,G2:G206,"ADAA",E2:E206,"0450",F2:F206,"00")</f>
        <v>0</v>
      </c>
      <c r="CK213" s="387">
        <f>SUMIFS(CK2:CK206,G2:G206,"ADAA",E2:E206,"0450",F2:F206,"00")</f>
        <v>0</v>
      </c>
      <c r="CL213" s="387">
        <f>SUMIFS(CL2:CL206,G2:G206,"ADAA",E2:E206,"0450",F2:F206,"00")</f>
        <v>0</v>
      </c>
      <c r="CM213" s="387">
        <f>SUMIFS(CM2:CM206,G2:G206,"ADAA",E2:E206,"0450",F2:F206,"00")</f>
        <v>0</v>
      </c>
    </row>
    <row r="214" spans="43:91" ht="15.75" thickBot="1" x14ac:dyDescent="0.3">
      <c r="AR214" t="s">
        <v>899</v>
      </c>
      <c r="AS214" s="387">
        <f>SUMIFS(AS2:AS206,G2:G206,"ADAA",E2:E206,"0450",F2:F206,"14",AT2:AT206,1)</f>
        <v>4.7</v>
      </c>
      <c r="AT214" s="387">
        <f>SUMIFS(AS2:AS206,G2:G206,"ADAA",E2:E206,"0450",F2:F206,"14",AT2:AT206,3)</f>
        <v>0</v>
      </c>
      <c r="AU214" s="387">
        <f>SUMIFS(AU2:AU206,G2:G206,"ADAA",E2:E206,"0450",F2:F206,"14")</f>
        <v>8</v>
      </c>
      <c r="AV214" s="387">
        <f>SUMIFS(AV2:AV206,G2:G206,"ADAA",E2:E206,"0450",F2:F206,"14")</f>
        <v>0</v>
      </c>
      <c r="AW214" s="387">
        <f>SUMIFS(AW2:AW206,G2:G206,"ADAA",E2:E206,"0450",F2:F206,"14")</f>
        <v>40</v>
      </c>
      <c r="AX214" s="387">
        <f>SUMIFS(AX2:AX206,G2:G206,"ADAA",E2:E206,"0450",F2:F206,"14")</f>
        <v>575390.34</v>
      </c>
      <c r="AY214" s="387">
        <f>SUMIFS(AY2:AY206,G2:G206,"ADAA",E2:E206,"0450",F2:F206,"14")</f>
        <v>331659.73999999993</v>
      </c>
      <c r="AZ214" s="387">
        <f>SUMIFS(AZ2:AZ206,G2:G206,"ADAA",E2:E206,"0450",F2:F206,"14")</f>
        <v>0</v>
      </c>
      <c r="BA214" s="387">
        <f>SUMIFS(BA2:BA206,G2:G206,"ADAA",E2:E206,"0450",F2:F206,"14")</f>
        <v>0</v>
      </c>
      <c r="BB214" s="387">
        <f>SUMIFS(BB2:BB206,G2:G206,"ADAA",E2:E206,"0450",F2:F206,"14")</f>
        <v>54755</v>
      </c>
      <c r="BC214" s="387">
        <f>SUMIFS(BC2:BC206,G2:G206,"ADAA",E2:E206,"0450",F2:F206,"14")</f>
        <v>0</v>
      </c>
      <c r="BD214" s="387">
        <f>SUMIFS(BD2:BD206,G2:G206,"ADAA",E2:E206,"0450",F2:F206,"14")</f>
        <v>20562.903879999998</v>
      </c>
      <c r="BE214" s="387">
        <f>SUMIFS(BE2:BE206,G2:G206,"ADAA",E2:E206,"0450",F2:F206,"14")</f>
        <v>4809.0662300000004</v>
      </c>
      <c r="BF214" s="387">
        <f>SUMIFS(BF2:BF206,G2:G206,"ADAA",E2:E206,"0450",F2:F206,"14")</f>
        <v>39600.172956000002</v>
      </c>
      <c r="BG214" s="387">
        <f>SUMIFS(BG2:BG206,G2:G206,"ADAA",E2:E206,"0450",F2:F206,"14")</f>
        <v>2391.2667254000003</v>
      </c>
      <c r="BH214" s="387">
        <f>SUMIFS(BH2:BH206,G2:G206,"ADAA",E2:E206,"0450",F2:F206,"14")</f>
        <v>1327.0024669999998</v>
      </c>
      <c r="BI214" s="387">
        <f>SUMIFS(BI2:BI206,G2:G206,"ADAA",E2:E206,"0450",F2:F206,"14")</f>
        <v>584.27845020000007</v>
      </c>
      <c r="BJ214" s="387">
        <f>SUMIFS(BJ2:BJ206,G2:G206,"ADAA",E2:E206,"0450",F2:F206,"14")</f>
        <v>4610.0703859999994</v>
      </c>
      <c r="BK214" s="387">
        <f>SUMIFS(BK2:BK206,G2:G206,"ADAA",E2:E206,"0450",F2:F206,"14")</f>
        <v>0</v>
      </c>
      <c r="BL214" s="387">
        <f>SUMIFS(BL2:BL206,G2:G206,"ADAA",E2:E206,"0450",F2:F206,"14")</f>
        <v>73884.761094600006</v>
      </c>
      <c r="BM214" s="387">
        <f>SUMIFS(BM2:BM206,G2:G206,"ADAA",E2:E206,"0450",F2:F206,"14")</f>
        <v>0</v>
      </c>
      <c r="BN214" s="387">
        <f>SUMIFS(BN2:BN206,G2:G206,"ADAA",E2:E206,"0450",F2:F206,"14")</f>
        <v>54755</v>
      </c>
      <c r="BO214" s="387">
        <f>SUMIFS(BO2:BO206,G2:G206,"ADAA",E2:E206,"0450",F2:F206,"14")</f>
        <v>0</v>
      </c>
      <c r="BP214" s="387">
        <f>SUMIFS(BP2:BP206,G2:G206,"ADAA",E2:E206,"0450",F2:F206,"14")</f>
        <v>20562.903879999998</v>
      </c>
      <c r="BQ214" s="387">
        <f>SUMIFS(BQ2:BQ206,G2:G206,"ADAA",E2:E206,"0450",F2:F206,"14")</f>
        <v>4809.0662300000004</v>
      </c>
      <c r="BR214" s="387">
        <f>SUMIFS(BR2:BR206,G2:G206,"ADAA",E2:E206,"0450",F2:F206,"14")</f>
        <v>39600.172956000002</v>
      </c>
      <c r="BS214" s="387">
        <f>SUMIFS(BS2:BS206,G2:G206,"ADAA",E2:E206,"0450",F2:F206,"14")</f>
        <v>2391.2667254000003</v>
      </c>
      <c r="BT214" s="387">
        <f>SUMIFS(BT2:BT206,G2:G206,"ADAA",E2:E206,"0450",F2:F206,"14")</f>
        <v>0</v>
      </c>
      <c r="BU214" s="387">
        <f>SUMIFS(BU2:BU206,G2:G206,"ADAA",E2:E206,"0450",F2:F206,"14")</f>
        <v>584.27845020000007</v>
      </c>
      <c r="BV214" s="387">
        <f>SUMIFS(BV2:BV206,G2:G206,"ADAA",E2:E206,"0450",F2:F206,"14")</f>
        <v>4610.0703859999994</v>
      </c>
      <c r="BW214" s="387">
        <f>SUMIFS(BW2:BW206,G2:G206,"ADAA",E2:E206,"0450",F2:F206,"14")</f>
        <v>0</v>
      </c>
      <c r="BX214" s="387">
        <f>SUMIFS(BX2:BX206,G2:G206,"ADAA",E2:E206,"0450",F2:F206,"14")</f>
        <v>72557.758627600007</v>
      </c>
      <c r="BY214" s="387">
        <f>SUMIFS(BY2:BY206,G2:G206,"ADAA",E2:E206,"0450",F2:F206,"14")</f>
        <v>0</v>
      </c>
      <c r="BZ214" s="387">
        <f>SUMIFS(BZ2:BZ206,G2:G206,"ADAA",E2:E206,"0450",F2:F206,"14")</f>
        <v>0</v>
      </c>
      <c r="CA214" s="387">
        <f>SUMIFS(CA2:CA206,G2:G206,"ADAA",E2:E206,"0450",F2:F206,"14")</f>
        <v>0</v>
      </c>
      <c r="CB214" s="387">
        <f>SUMIFS(CB2:CB206,G2:G206,"ADAA",E2:E206,"0450",F2:F206,"14")</f>
        <v>0</v>
      </c>
      <c r="CC214" s="387">
        <f>SUMIFS(CC2:CC206,G2:G206,"ADAA",E2:E206,"0450",F2:F206,"14")</f>
        <v>0</v>
      </c>
      <c r="CD214" s="387">
        <f>SUMIFS(CD2:CD206,G2:G206,"ADAA",E2:E206,"0450",F2:F206,"14")</f>
        <v>0</v>
      </c>
      <c r="CE214" s="387">
        <f>SUMIFS(CE2:CE206,G2:G206,"ADAA",E2:E206,"0450",F2:F206,"14")</f>
        <v>0</v>
      </c>
      <c r="CF214" s="387">
        <f>SUMIFS(CF2:CF206,G2:G206,"ADAA",E2:E206,"0450",F2:F206,"14")</f>
        <v>-1327.0024669999998</v>
      </c>
      <c r="CG214" s="387">
        <f>SUMIFS(CG2:CG206,G2:G206,"ADAA",E2:E206,"0450",F2:F206,"14")</f>
        <v>0</v>
      </c>
      <c r="CH214" s="387">
        <f>SUMIFS(CH2:CH206,G2:G206,"ADAA",E2:E206,"0450",F2:F206,"14")</f>
        <v>0</v>
      </c>
      <c r="CI214" s="387">
        <f>SUMIFS(CI2:CI206,G2:G206,"ADAA",E2:E206,"0450",F2:F206,"14")</f>
        <v>0</v>
      </c>
      <c r="CJ214" s="387">
        <f>SUMIFS(CJ2:CJ206,G2:G206,"ADAA",E2:E206,"0450",F2:F206,"14")</f>
        <v>-1327.0024669999998</v>
      </c>
      <c r="CK214" s="387">
        <f>SUMIFS(CK2:CK206,G2:G206,"ADAA",E2:E206,"0450",F2:F206,"14")</f>
        <v>0</v>
      </c>
      <c r="CL214" s="387">
        <f>SUMIFS(CL2:CL206,G2:G206,"ADAA",E2:E206,"0450",F2:F206,"14")</f>
        <v>0</v>
      </c>
      <c r="CM214" s="387">
        <f>SUMIFS(CM2:CM206,G2:G206,"ADAA",E2:E206,"0450",F2:F206,"14")</f>
        <v>0</v>
      </c>
    </row>
    <row r="215" spans="43:91" ht="18.75" x14ac:dyDescent="0.3">
      <c r="AQ215" s="393" t="s">
        <v>900</v>
      </c>
      <c r="AS215" s="394">
        <f t="shared" ref="AS215:CM215" si="178">SUM(AS213:AS214)</f>
        <v>4.7</v>
      </c>
      <c r="AT215" s="394">
        <f t="shared" si="178"/>
        <v>0</v>
      </c>
      <c r="AU215" s="394">
        <f t="shared" si="178"/>
        <v>8</v>
      </c>
      <c r="AV215" s="394">
        <f t="shared" si="178"/>
        <v>0</v>
      </c>
      <c r="AW215" s="394">
        <f t="shared" si="178"/>
        <v>40</v>
      </c>
      <c r="AX215" s="394">
        <f t="shared" si="178"/>
        <v>575390.34</v>
      </c>
      <c r="AY215" s="394">
        <f t="shared" si="178"/>
        <v>331659.73999999993</v>
      </c>
      <c r="AZ215" s="394">
        <f t="shared" si="178"/>
        <v>0</v>
      </c>
      <c r="BA215" s="394">
        <f t="shared" si="178"/>
        <v>0</v>
      </c>
      <c r="BB215" s="394">
        <f t="shared" si="178"/>
        <v>54755</v>
      </c>
      <c r="BC215" s="394">
        <f t="shared" si="178"/>
        <v>0</v>
      </c>
      <c r="BD215" s="394">
        <f t="shared" si="178"/>
        <v>20562.903879999998</v>
      </c>
      <c r="BE215" s="394">
        <f t="shared" si="178"/>
        <v>4809.0662300000004</v>
      </c>
      <c r="BF215" s="394">
        <f t="shared" si="178"/>
        <v>39600.172956000002</v>
      </c>
      <c r="BG215" s="394">
        <f t="shared" si="178"/>
        <v>2391.2667254000003</v>
      </c>
      <c r="BH215" s="394">
        <f t="shared" si="178"/>
        <v>1327.0024669999998</v>
      </c>
      <c r="BI215" s="394">
        <f t="shared" si="178"/>
        <v>584.27845020000007</v>
      </c>
      <c r="BJ215" s="394">
        <f t="shared" si="178"/>
        <v>4610.0703859999994</v>
      </c>
      <c r="BK215" s="394">
        <f t="shared" si="178"/>
        <v>0</v>
      </c>
      <c r="BL215" s="394">
        <f t="shared" si="178"/>
        <v>73884.761094600006</v>
      </c>
      <c r="BM215" s="394">
        <f t="shared" si="178"/>
        <v>0</v>
      </c>
      <c r="BN215" s="394">
        <f t="shared" si="178"/>
        <v>54755</v>
      </c>
      <c r="BO215" s="394">
        <f t="shared" si="178"/>
        <v>0</v>
      </c>
      <c r="BP215" s="394">
        <f t="shared" si="178"/>
        <v>20562.903879999998</v>
      </c>
      <c r="BQ215" s="394">
        <f t="shared" si="178"/>
        <v>4809.0662300000004</v>
      </c>
      <c r="BR215" s="394">
        <f t="shared" si="178"/>
        <v>39600.172956000002</v>
      </c>
      <c r="BS215" s="394">
        <f t="shared" si="178"/>
        <v>2391.2667254000003</v>
      </c>
      <c r="BT215" s="394">
        <f t="shared" si="178"/>
        <v>0</v>
      </c>
      <c r="BU215" s="394">
        <f t="shared" si="178"/>
        <v>584.27845020000007</v>
      </c>
      <c r="BV215" s="394">
        <f t="shared" si="178"/>
        <v>4610.0703859999994</v>
      </c>
      <c r="BW215" s="394">
        <f t="shared" si="178"/>
        <v>0</v>
      </c>
      <c r="BX215" s="394">
        <f t="shared" si="178"/>
        <v>72557.758627600007</v>
      </c>
      <c r="BY215" s="394">
        <f t="shared" si="178"/>
        <v>0</v>
      </c>
      <c r="BZ215" s="394">
        <f t="shared" si="178"/>
        <v>0</v>
      </c>
      <c r="CA215" s="394">
        <f t="shared" si="178"/>
        <v>0</v>
      </c>
      <c r="CB215" s="394">
        <f t="shared" si="178"/>
        <v>0</v>
      </c>
      <c r="CC215" s="394">
        <f t="shared" si="178"/>
        <v>0</v>
      </c>
      <c r="CD215" s="394">
        <f t="shared" si="178"/>
        <v>0</v>
      </c>
      <c r="CE215" s="394">
        <f t="shared" si="178"/>
        <v>0</v>
      </c>
      <c r="CF215" s="394">
        <f t="shared" si="178"/>
        <v>-1327.0024669999998</v>
      </c>
      <c r="CG215" s="394">
        <f t="shared" si="178"/>
        <v>0</v>
      </c>
      <c r="CH215" s="394">
        <f t="shared" si="178"/>
        <v>0</v>
      </c>
      <c r="CI215" s="394">
        <f t="shared" si="178"/>
        <v>0</v>
      </c>
      <c r="CJ215" s="394">
        <f t="shared" si="178"/>
        <v>-1327.0024669999998</v>
      </c>
      <c r="CK215" s="394">
        <f t="shared" si="178"/>
        <v>0</v>
      </c>
      <c r="CL215" s="394">
        <f t="shared" si="178"/>
        <v>0</v>
      </c>
      <c r="CM215" s="394">
        <f t="shared" si="178"/>
        <v>0</v>
      </c>
    </row>
    <row r="216" spans="43:91" ht="15.75" thickBot="1" x14ac:dyDescent="0.3">
      <c r="AR216" t="s">
        <v>905</v>
      </c>
      <c r="AS216" s="387">
        <f>SUMIFS(AS2:AS206,G2:G206,"ADAA",E2:E206,"0519",F2:F206,"00",AT2:AT206,1)</f>
        <v>0.19</v>
      </c>
      <c r="AT216" s="387">
        <f>SUMIFS(AS2:AS206,G2:G206,"ADAA",E2:E206,"0519",F2:F206,"00",AT2:AT206,3)</f>
        <v>0</v>
      </c>
      <c r="AU216" s="387">
        <f>SUMIFS(AU2:AU206,G2:G206,"ADAA",E2:E206,"0519",F2:F206,"00")</f>
        <v>4</v>
      </c>
      <c r="AV216" s="387">
        <f>SUMIFS(AV2:AV206,G2:G206,"ADAA",E2:E206,"0519",F2:F206,"00")</f>
        <v>0</v>
      </c>
      <c r="AW216" s="387">
        <f>SUMIFS(AW2:AW206,G2:G206,"ADAA",E2:E206,"0519",F2:F206,"00")</f>
        <v>23</v>
      </c>
      <c r="AX216" s="387">
        <f>SUMIFS(AX2:AX206,G2:G206,"ADAA",E2:E206,"0519",F2:F206,"00")</f>
        <v>302910.33999999997</v>
      </c>
      <c r="AY216" s="387">
        <f>SUMIFS(AY2:AY206,G2:G206,"ADAA",E2:E206,"0519",F2:F206,"00")</f>
        <v>10697.42</v>
      </c>
      <c r="AZ216" s="387">
        <f>SUMIFS(AZ2:AZ206,G2:G206,"ADAA",E2:E206,"0519",F2:F206,"00")</f>
        <v>0</v>
      </c>
      <c r="BA216" s="387">
        <f>SUMIFS(BA2:BA206,G2:G206,"ADAA",E2:E206,"0519",F2:F206,"00")</f>
        <v>0</v>
      </c>
      <c r="BB216" s="387">
        <f>SUMIFS(BB2:BB206,G2:G206,"ADAA",E2:E206,"0519",F2:F206,"00")</f>
        <v>2213.5</v>
      </c>
      <c r="BC216" s="387">
        <f>SUMIFS(BC2:BC206,G2:G206,"ADAA",E2:E206,"0519",F2:F206,"00")</f>
        <v>0</v>
      </c>
      <c r="BD216" s="387">
        <f>SUMIFS(BD2:BD206,G2:G206,"ADAA",E2:E206,"0519",F2:F206,"00")</f>
        <v>663.24004000000002</v>
      </c>
      <c r="BE216" s="387">
        <f>SUMIFS(BE2:BE206,G2:G206,"ADAA",E2:E206,"0519",F2:F206,"00")</f>
        <v>155.11259000000001</v>
      </c>
      <c r="BF216" s="387">
        <f>SUMIFS(BF2:BF206,G2:G206,"ADAA",E2:E206,"0519",F2:F206,"00")</f>
        <v>1277.2719480000003</v>
      </c>
      <c r="BG216" s="387">
        <f>SUMIFS(BG2:BG206,G2:G206,"ADAA",E2:E206,"0519",F2:F206,"00")</f>
        <v>77.128398200000007</v>
      </c>
      <c r="BH216" s="387">
        <f>SUMIFS(BH2:BH206,G2:G206,"ADAA",E2:E206,"0519",F2:F206,"00")</f>
        <v>39.455191999999997</v>
      </c>
      <c r="BI216" s="387">
        <f>SUMIFS(BI2:BI206,G2:G206,"ADAA",E2:E206,"0519",F2:F206,"00")</f>
        <v>24.639364799999996</v>
      </c>
      <c r="BJ216" s="387">
        <f>SUMIFS(BJ2:BJ206,G2:G206,"ADAA",E2:E206,"0519",F2:F206,"00")</f>
        <v>148.69413800000001</v>
      </c>
      <c r="BK216" s="387">
        <f>SUMIFS(BK2:BK206,G2:G206,"ADAA",E2:E206,"0519",F2:F206,"00")</f>
        <v>0</v>
      </c>
      <c r="BL216" s="387">
        <f>SUMIFS(BL2:BL206,G2:G206,"ADAA",E2:E206,"0519",F2:F206,"00")</f>
        <v>2385.5416710000004</v>
      </c>
      <c r="BM216" s="387">
        <f>SUMIFS(BM2:BM206,G2:G206,"ADAA",E2:E206,"0519",F2:F206,"00")</f>
        <v>0</v>
      </c>
      <c r="BN216" s="387">
        <f>SUMIFS(BN2:BN206,G2:G206,"ADAA",E2:E206,"0519",F2:F206,"00")</f>
        <v>2213.5</v>
      </c>
      <c r="BO216" s="387">
        <f>SUMIFS(BO2:BO206,G2:G206,"ADAA",E2:E206,"0519",F2:F206,"00")</f>
        <v>0</v>
      </c>
      <c r="BP216" s="387">
        <f>SUMIFS(BP2:BP206,G2:G206,"ADAA",E2:E206,"0519",F2:F206,"00")</f>
        <v>663.24004000000002</v>
      </c>
      <c r="BQ216" s="387">
        <f>SUMIFS(BQ2:BQ206,G2:G206,"ADAA",E2:E206,"0519",F2:F206,"00")</f>
        <v>155.11259000000001</v>
      </c>
      <c r="BR216" s="387">
        <f>SUMIFS(BR2:BR206,G2:G206,"ADAA",E2:E206,"0519",F2:F206,"00")</f>
        <v>1277.2719480000003</v>
      </c>
      <c r="BS216" s="387">
        <f>SUMIFS(BS2:BS206,G2:G206,"ADAA",E2:E206,"0519",F2:F206,"00")</f>
        <v>77.128398200000007</v>
      </c>
      <c r="BT216" s="387">
        <f>SUMIFS(BT2:BT206,G2:G206,"ADAA",E2:E206,"0519",F2:F206,"00")</f>
        <v>0</v>
      </c>
      <c r="BU216" s="387">
        <f>SUMIFS(BU2:BU206,G2:G206,"ADAA",E2:E206,"0519",F2:F206,"00")</f>
        <v>24.639364799999996</v>
      </c>
      <c r="BV216" s="387">
        <f>SUMIFS(BV2:BV206,G2:G206,"ADAA",E2:E206,"0519",F2:F206,"00")</f>
        <v>148.69413800000001</v>
      </c>
      <c r="BW216" s="387">
        <f>SUMIFS(BW2:BW206,G2:G206,"ADAA",E2:E206,"0519",F2:F206,"00")</f>
        <v>0</v>
      </c>
      <c r="BX216" s="387">
        <f>SUMIFS(BX2:BX206,G2:G206,"ADAA",E2:E206,"0519",F2:F206,"00")</f>
        <v>2346.0864790000005</v>
      </c>
      <c r="BY216" s="387">
        <f>SUMIFS(BY2:BY206,G2:G206,"ADAA",E2:E206,"0519",F2:F206,"00")</f>
        <v>0</v>
      </c>
      <c r="BZ216" s="387">
        <f>SUMIFS(BZ2:BZ206,G2:G206,"ADAA",E2:E206,"0519",F2:F206,"00")</f>
        <v>0</v>
      </c>
      <c r="CA216" s="387">
        <f>SUMIFS(CA2:CA206,G2:G206,"ADAA",E2:E206,"0519",F2:F206,"00")</f>
        <v>0</v>
      </c>
      <c r="CB216" s="387">
        <f>SUMIFS(CB2:CB206,G2:G206,"ADAA",E2:E206,"0519",F2:F206,"00")</f>
        <v>0</v>
      </c>
      <c r="CC216" s="387">
        <f>SUMIFS(CC2:CC206,G2:G206,"ADAA",E2:E206,"0519",F2:F206,"00")</f>
        <v>0</v>
      </c>
      <c r="CD216" s="387">
        <f>SUMIFS(CD2:CD206,G2:G206,"ADAA",E2:E206,"0519",F2:F206,"00")</f>
        <v>0</v>
      </c>
      <c r="CE216" s="387">
        <f>SUMIFS(CE2:CE206,G2:G206,"ADAA",E2:E206,"0519",F2:F206,"00")</f>
        <v>0</v>
      </c>
      <c r="CF216" s="387">
        <f>SUMIFS(CF2:CF206,G2:G206,"ADAA",E2:E206,"0519",F2:F206,"00")</f>
        <v>-39.455191999999997</v>
      </c>
      <c r="CG216" s="387">
        <f>SUMIFS(CG2:CG206,G2:G206,"ADAA",E2:E206,"0519",F2:F206,"00")</f>
        <v>0</v>
      </c>
      <c r="CH216" s="387">
        <f>SUMIFS(CH2:CH206,G2:G206,"ADAA",E2:E206,"0519",F2:F206,"00")</f>
        <v>0</v>
      </c>
      <c r="CI216" s="387">
        <f>SUMIFS(CI2:CI206,G2:G206,"ADAA",E2:E206,"0519",F2:F206,"00")</f>
        <v>0</v>
      </c>
      <c r="CJ216" s="387">
        <f>SUMIFS(CJ2:CJ206,G2:G206,"ADAA",E2:E206,"0519",F2:F206,"00")</f>
        <v>-39.455191999999997</v>
      </c>
      <c r="CK216" s="387">
        <f>SUMIFS(CK2:CK206,G2:G206,"ADAA",E2:E206,"0519",F2:F206,"00")</f>
        <v>0</v>
      </c>
      <c r="CL216" s="387">
        <f>SUMIFS(CL2:CL206,G2:G206,"ADAA",E2:E206,"0519",F2:F206,"00")</f>
        <v>0</v>
      </c>
      <c r="CM216" s="387">
        <f>SUMIFS(CM2:CM206,G2:G206,"ADAA",E2:E206,"0519",F2:F206,"00")</f>
        <v>0</v>
      </c>
    </row>
    <row r="217" spans="43:91" ht="18.75" x14ac:dyDescent="0.3">
      <c r="AQ217" s="393" t="s">
        <v>906</v>
      </c>
      <c r="AS217" s="394">
        <f t="shared" ref="AS217:CM217" si="179">SUM(AS216:AS216)</f>
        <v>0.19</v>
      </c>
      <c r="AT217" s="394">
        <f t="shared" si="179"/>
        <v>0</v>
      </c>
      <c r="AU217" s="394">
        <f t="shared" si="179"/>
        <v>4</v>
      </c>
      <c r="AV217" s="394">
        <f t="shared" si="179"/>
        <v>0</v>
      </c>
      <c r="AW217" s="394">
        <f t="shared" si="179"/>
        <v>23</v>
      </c>
      <c r="AX217" s="394">
        <f t="shared" si="179"/>
        <v>302910.33999999997</v>
      </c>
      <c r="AY217" s="394">
        <f t="shared" si="179"/>
        <v>10697.42</v>
      </c>
      <c r="AZ217" s="394">
        <f t="shared" si="179"/>
        <v>0</v>
      </c>
      <c r="BA217" s="394">
        <f t="shared" si="179"/>
        <v>0</v>
      </c>
      <c r="BB217" s="394">
        <f t="shared" si="179"/>
        <v>2213.5</v>
      </c>
      <c r="BC217" s="394">
        <f t="shared" si="179"/>
        <v>0</v>
      </c>
      <c r="BD217" s="394">
        <f t="shared" si="179"/>
        <v>663.24004000000002</v>
      </c>
      <c r="BE217" s="394">
        <f t="shared" si="179"/>
        <v>155.11259000000001</v>
      </c>
      <c r="BF217" s="394">
        <f t="shared" si="179"/>
        <v>1277.2719480000003</v>
      </c>
      <c r="BG217" s="394">
        <f t="shared" si="179"/>
        <v>77.128398200000007</v>
      </c>
      <c r="BH217" s="394">
        <f t="shared" si="179"/>
        <v>39.455191999999997</v>
      </c>
      <c r="BI217" s="394">
        <f t="shared" si="179"/>
        <v>24.639364799999996</v>
      </c>
      <c r="BJ217" s="394">
        <f t="shared" si="179"/>
        <v>148.69413800000001</v>
      </c>
      <c r="BK217" s="394">
        <f t="shared" si="179"/>
        <v>0</v>
      </c>
      <c r="BL217" s="394">
        <f t="shared" si="179"/>
        <v>2385.5416710000004</v>
      </c>
      <c r="BM217" s="394">
        <f t="shared" si="179"/>
        <v>0</v>
      </c>
      <c r="BN217" s="394">
        <f t="shared" si="179"/>
        <v>2213.5</v>
      </c>
      <c r="BO217" s="394">
        <f t="shared" si="179"/>
        <v>0</v>
      </c>
      <c r="BP217" s="394">
        <f t="shared" si="179"/>
        <v>663.24004000000002</v>
      </c>
      <c r="BQ217" s="394">
        <f t="shared" si="179"/>
        <v>155.11259000000001</v>
      </c>
      <c r="BR217" s="394">
        <f t="shared" si="179"/>
        <v>1277.2719480000003</v>
      </c>
      <c r="BS217" s="394">
        <f t="shared" si="179"/>
        <v>77.128398200000007</v>
      </c>
      <c r="BT217" s="394">
        <f t="shared" si="179"/>
        <v>0</v>
      </c>
      <c r="BU217" s="394">
        <f t="shared" si="179"/>
        <v>24.639364799999996</v>
      </c>
      <c r="BV217" s="394">
        <f t="shared" si="179"/>
        <v>148.69413800000001</v>
      </c>
      <c r="BW217" s="394">
        <f t="shared" si="179"/>
        <v>0</v>
      </c>
      <c r="BX217" s="394">
        <f t="shared" si="179"/>
        <v>2346.0864790000005</v>
      </c>
      <c r="BY217" s="394">
        <f t="shared" si="179"/>
        <v>0</v>
      </c>
      <c r="BZ217" s="394">
        <f t="shared" si="179"/>
        <v>0</v>
      </c>
      <c r="CA217" s="394">
        <f t="shared" si="179"/>
        <v>0</v>
      </c>
      <c r="CB217" s="394">
        <f t="shared" si="179"/>
        <v>0</v>
      </c>
      <c r="CC217" s="394">
        <f t="shared" si="179"/>
        <v>0</v>
      </c>
      <c r="CD217" s="394">
        <f t="shared" si="179"/>
        <v>0</v>
      </c>
      <c r="CE217" s="394">
        <f t="shared" si="179"/>
        <v>0</v>
      </c>
      <c r="CF217" s="394">
        <f t="shared" si="179"/>
        <v>-39.455191999999997</v>
      </c>
      <c r="CG217" s="394">
        <f t="shared" si="179"/>
        <v>0</v>
      </c>
      <c r="CH217" s="394">
        <f t="shared" si="179"/>
        <v>0</v>
      </c>
      <c r="CI217" s="394">
        <f t="shared" si="179"/>
        <v>0</v>
      </c>
      <c r="CJ217" s="394">
        <f t="shared" si="179"/>
        <v>-39.455191999999997</v>
      </c>
      <c r="CK217" s="394">
        <f t="shared" si="179"/>
        <v>0</v>
      </c>
      <c r="CL217" s="394">
        <f t="shared" si="179"/>
        <v>0</v>
      </c>
      <c r="CM217" s="394">
        <f t="shared" si="179"/>
        <v>0</v>
      </c>
    </row>
    <row r="218" spans="43:91" ht="15.75" thickBot="1" x14ac:dyDescent="0.3">
      <c r="AR218" t="s">
        <v>911</v>
      </c>
      <c r="AS218" s="387">
        <f>SUMIFS(AS2:AS206,G2:G206,"ADAC",E2:E206,"0365",F2:F206,"00",AT2:AT206,1)</f>
        <v>24.8</v>
      </c>
      <c r="AT218" s="387">
        <f>SUMIFS(AS2:AS206,G2:G206,"ADAC",E2:E206,"0365",F2:F206,"00",AT2:AT206,3)</f>
        <v>0</v>
      </c>
      <c r="AU218" s="387">
        <f>SUMIFS(AU2:AU206,G2:G206,"ADAC",E2:E206,"0365",F2:F206,"00")</f>
        <v>26</v>
      </c>
      <c r="AV218" s="387">
        <f>SUMIFS(AV2:AV206,G2:G206,"ADAC",E2:E206,"0365",F2:F206,"00")</f>
        <v>0</v>
      </c>
      <c r="AW218" s="387">
        <f>SUMIFS(AW2:AW206,G2:G206,"ADAC",E2:E206,"0365",F2:F206,"00")</f>
        <v>30</v>
      </c>
      <c r="AX218" s="387">
        <f>SUMIFS(AX2:AX206,G2:G206,"ADAC",E2:E206,"0365",F2:F206,"00")</f>
        <v>1608734.4000000001</v>
      </c>
      <c r="AY218" s="387">
        <f>SUMIFS(AY2:AY206,G2:G206,"ADAC",E2:E206,"0365",F2:F206,"00")</f>
        <v>1500692.9600000002</v>
      </c>
      <c r="AZ218" s="387">
        <f>SUMIFS(AZ2:AZ206,G2:G206,"ADAC",E2:E206,"0365",F2:F206,"00")</f>
        <v>0</v>
      </c>
      <c r="BA218" s="387">
        <f>SUMIFS(BA2:BA206,G2:G206,"ADAC",E2:E206,"0365",F2:F206,"00")</f>
        <v>0</v>
      </c>
      <c r="BB218" s="387">
        <f>SUMIFS(BB2:BB206,G2:G206,"ADAC",E2:E206,"0365",F2:F206,"00")</f>
        <v>288920</v>
      </c>
      <c r="BC218" s="387">
        <f>SUMIFS(BC2:BC206,G2:G206,"ADAC",E2:E206,"0365",F2:F206,"00")</f>
        <v>0</v>
      </c>
      <c r="BD218" s="387">
        <f>SUMIFS(BD2:BD206,G2:G206,"ADAC",E2:E206,"0365",F2:F206,"00")</f>
        <v>93042.963520000005</v>
      </c>
      <c r="BE218" s="387">
        <f>SUMIFS(BE2:BE206,G2:G206,"ADAC",E2:E206,"0365",F2:F206,"00")</f>
        <v>21760.047920000001</v>
      </c>
      <c r="BF218" s="387">
        <f>SUMIFS(BF2:BF206,G2:G206,"ADAC",E2:E206,"0365",F2:F206,"00")</f>
        <v>179182.739424</v>
      </c>
      <c r="BG218" s="387">
        <f>SUMIFS(BG2:BG206,G2:G206,"ADAC",E2:E206,"0365",F2:F206,"00")</f>
        <v>10819.996241600002</v>
      </c>
      <c r="BH218" s="387">
        <f>SUMIFS(BH2:BH206,G2:G206,"ADAC",E2:E206,"0365",F2:F206,"00")</f>
        <v>7353.3955039999992</v>
      </c>
      <c r="BI218" s="387">
        <f>SUMIFS(BI2:BI206,G2:G206,"ADAC",E2:E206,"0365",F2:F206,"00")</f>
        <v>4419.7298495999994</v>
      </c>
      <c r="BJ218" s="387">
        <f>SUMIFS(BJ2:BJ206,G2:G206,"ADAC",E2:E206,"0365",F2:F206,"00")</f>
        <v>20859.632143999999</v>
      </c>
      <c r="BK218" s="387">
        <f>SUMIFS(BK2:BK206,G2:G206,"ADAC",E2:E206,"0365",F2:F206,"00")</f>
        <v>0</v>
      </c>
      <c r="BL218" s="387">
        <f>SUMIFS(BL2:BL206,G2:G206,"ADAC",E2:E206,"0365",F2:F206,"00")</f>
        <v>337438.50460320007</v>
      </c>
      <c r="BM218" s="387">
        <f>SUMIFS(BM2:BM206,G2:G206,"ADAC",E2:E206,"0365",F2:F206,"00")</f>
        <v>0</v>
      </c>
      <c r="BN218" s="387">
        <f>SUMIFS(BN2:BN206,G2:G206,"ADAC",E2:E206,"0365",F2:F206,"00")</f>
        <v>288920</v>
      </c>
      <c r="BO218" s="387">
        <f>SUMIFS(BO2:BO206,G2:G206,"ADAC",E2:E206,"0365",F2:F206,"00")</f>
        <v>0</v>
      </c>
      <c r="BP218" s="387">
        <f>SUMIFS(BP2:BP206,G2:G206,"ADAC",E2:E206,"0365",F2:F206,"00")</f>
        <v>93042.963520000005</v>
      </c>
      <c r="BQ218" s="387">
        <f>SUMIFS(BQ2:BQ206,G2:G206,"ADAC",E2:E206,"0365",F2:F206,"00")</f>
        <v>21760.047920000001</v>
      </c>
      <c r="BR218" s="387">
        <f>SUMIFS(BR2:BR206,G2:G206,"ADAC",E2:E206,"0365",F2:F206,"00")</f>
        <v>179182.739424</v>
      </c>
      <c r="BS218" s="387">
        <f>SUMIFS(BS2:BS206,G2:G206,"ADAC",E2:E206,"0365",F2:F206,"00")</f>
        <v>10819.996241600002</v>
      </c>
      <c r="BT218" s="387">
        <f>SUMIFS(BT2:BT206,G2:G206,"ADAC",E2:E206,"0365",F2:F206,"00")</f>
        <v>0</v>
      </c>
      <c r="BU218" s="387">
        <f>SUMIFS(BU2:BU206,G2:G206,"ADAC",E2:E206,"0365",F2:F206,"00")</f>
        <v>4419.7298495999994</v>
      </c>
      <c r="BV218" s="387">
        <f>SUMIFS(BV2:BV206,G2:G206,"ADAC",E2:E206,"0365",F2:F206,"00")</f>
        <v>20859.632143999999</v>
      </c>
      <c r="BW218" s="387">
        <f>SUMIFS(BW2:BW206,G2:G206,"ADAC",E2:E206,"0365",F2:F206,"00")</f>
        <v>0</v>
      </c>
      <c r="BX218" s="387">
        <f>SUMIFS(BX2:BX206,G2:G206,"ADAC",E2:E206,"0365",F2:F206,"00")</f>
        <v>330085.1090992</v>
      </c>
      <c r="BY218" s="387">
        <f>SUMIFS(BY2:BY206,G2:G206,"ADAC",E2:E206,"0365",F2:F206,"00")</f>
        <v>0</v>
      </c>
      <c r="BZ218" s="387">
        <f>SUMIFS(BZ2:BZ206,G2:G206,"ADAC",E2:E206,"0365",F2:F206,"00")</f>
        <v>0</v>
      </c>
      <c r="CA218" s="387">
        <f>SUMIFS(CA2:CA206,G2:G206,"ADAC",E2:E206,"0365",F2:F206,"00")</f>
        <v>0</v>
      </c>
      <c r="CB218" s="387">
        <f>SUMIFS(CB2:CB206,G2:G206,"ADAC",E2:E206,"0365",F2:F206,"00")</f>
        <v>0</v>
      </c>
      <c r="CC218" s="387">
        <f>SUMIFS(CC2:CC206,G2:G206,"ADAC",E2:E206,"0365",F2:F206,"00")</f>
        <v>0</v>
      </c>
      <c r="CD218" s="387">
        <f>SUMIFS(CD2:CD206,G2:G206,"ADAC",E2:E206,"0365",F2:F206,"00")</f>
        <v>0</v>
      </c>
      <c r="CE218" s="387">
        <f>SUMIFS(CE2:CE206,G2:G206,"ADAC",E2:E206,"0365",F2:F206,"00")</f>
        <v>0</v>
      </c>
      <c r="CF218" s="387">
        <f>SUMIFS(CF2:CF206,G2:G206,"ADAC",E2:E206,"0365",F2:F206,"00")</f>
        <v>-7353.3955039999992</v>
      </c>
      <c r="CG218" s="387">
        <f>SUMIFS(CG2:CG206,G2:G206,"ADAC",E2:E206,"0365",F2:F206,"00")</f>
        <v>0</v>
      </c>
      <c r="CH218" s="387">
        <f>SUMIFS(CH2:CH206,G2:G206,"ADAC",E2:E206,"0365",F2:F206,"00")</f>
        <v>0</v>
      </c>
      <c r="CI218" s="387">
        <f>SUMIFS(CI2:CI206,G2:G206,"ADAC",E2:E206,"0365",F2:F206,"00")</f>
        <v>0</v>
      </c>
      <c r="CJ218" s="387">
        <f>SUMIFS(CJ2:CJ206,G2:G206,"ADAC",E2:E206,"0365",F2:F206,"00")</f>
        <v>-7353.3955039999992</v>
      </c>
      <c r="CK218" s="387">
        <f>SUMIFS(CK2:CK206,G2:G206,"ADAC",E2:E206,"0365",F2:F206,"00")</f>
        <v>0</v>
      </c>
      <c r="CL218" s="387">
        <f>SUMIFS(CL2:CL206,G2:G206,"ADAC",E2:E206,"0365",F2:F206,"00")</f>
        <v>0</v>
      </c>
      <c r="CM218" s="387">
        <f>SUMIFS(CM2:CM206,G2:G206,"ADAC",E2:E206,"0365",F2:F206,"00")</f>
        <v>0</v>
      </c>
    </row>
    <row r="219" spans="43:91" ht="18.75" x14ac:dyDescent="0.3">
      <c r="AQ219" s="393" t="s">
        <v>912</v>
      </c>
      <c r="AS219" s="394">
        <f t="shared" ref="AS219:CM219" si="180">SUM(AS218:AS218)</f>
        <v>24.8</v>
      </c>
      <c r="AT219" s="394">
        <f t="shared" si="180"/>
        <v>0</v>
      </c>
      <c r="AU219" s="394">
        <f t="shared" si="180"/>
        <v>26</v>
      </c>
      <c r="AV219" s="394">
        <f t="shared" si="180"/>
        <v>0</v>
      </c>
      <c r="AW219" s="394">
        <f t="shared" si="180"/>
        <v>30</v>
      </c>
      <c r="AX219" s="394">
        <f t="shared" si="180"/>
        <v>1608734.4000000001</v>
      </c>
      <c r="AY219" s="394">
        <f t="shared" si="180"/>
        <v>1500692.9600000002</v>
      </c>
      <c r="AZ219" s="394">
        <f t="shared" si="180"/>
        <v>0</v>
      </c>
      <c r="BA219" s="394">
        <f t="shared" si="180"/>
        <v>0</v>
      </c>
      <c r="BB219" s="394">
        <f t="shared" si="180"/>
        <v>288920</v>
      </c>
      <c r="BC219" s="394">
        <f t="shared" si="180"/>
        <v>0</v>
      </c>
      <c r="BD219" s="394">
        <f t="shared" si="180"/>
        <v>93042.963520000005</v>
      </c>
      <c r="BE219" s="394">
        <f t="shared" si="180"/>
        <v>21760.047920000001</v>
      </c>
      <c r="BF219" s="394">
        <f t="shared" si="180"/>
        <v>179182.739424</v>
      </c>
      <c r="BG219" s="394">
        <f t="shared" si="180"/>
        <v>10819.996241600002</v>
      </c>
      <c r="BH219" s="394">
        <f t="shared" si="180"/>
        <v>7353.3955039999992</v>
      </c>
      <c r="BI219" s="394">
        <f t="shared" si="180"/>
        <v>4419.7298495999994</v>
      </c>
      <c r="BJ219" s="394">
        <f t="shared" si="180"/>
        <v>20859.632143999999</v>
      </c>
      <c r="BK219" s="394">
        <f t="shared" si="180"/>
        <v>0</v>
      </c>
      <c r="BL219" s="394">
        <f t="shared" si="180"/>
        <v>337438.50460320007</v>
      </c>
      <c r="BM219" s="394">
        <f t="shared" si="180"/>
        <v>0</v>
      </c>
      <c r="BN219" s="394">
        <f t="shared" si="180"/>
        <v>288920</v>
      </c>
      <c r="BO219" s="394">
        <f t="shared" si="180"/>
        <v>0</v>
      </c>
      <c r="BP219" s="394">
        <f t="shared" si="180"/>
        <v>93042.963520000005</v>
      </c>
      <c r="BQ219" s="394">
        <f t="shared" si="180"/>
        <v>21760.047920000001</v>
      </c>
      <c r="BR219" s="394">
        <f t="shared" si="180"/>
        <v>179182.739424</v>
      </c>
      <c r="BS219" s="394">
        <f t="shared" si="180"/>
        <v>10819.996241600002</v>
      </c>
      <c r="BT219" s="394">
        <f t="shared" si="180"/>
        <v>0</v>
      </c>
      <c r="BU219" s="394">
        <f t="shared" si="180"/>
        <v>4419.7298495999994</v>
      </c>
      <c r="BV219" s="394">
        <f t="shared" si="180"/>
        <v>20859.632143999999</v>
      </c>
      <c r="BW219" s="394">
        <f t="shared" si="180"/>
        <v>0</v>
      </c>
      <c r="BX219" s="394">
        <f t="shared" si="180"/>
        <v>330085.1090992</v>
      </c>
      <c r="BY219" s="394">
        <f t="shared" si="180"/>
        <v>0</v>
      </c>
      <c r="BZ219" s="394">
        <f t="shared" si="180"/>
        <v>0</v>
      </c>
      <c r="CA219" s="394">
        <f t="shared" si="180"/>
        <v>0</v>
      </c>
      <c r="CB219" s="394">
        <f t="shared" si="180"/>
        <v>0</v>
      </c>
      <c r="CC219" s="394">
        <f t="shared" si="180"/>
        <v>0</v>
      </c>
      <c r="CD219" s="394">
        <f t="shared" si="180"/>
        <v>0</v>
      </c>
      <c r="CE219" s="394">
        <f t="shared" si="180"/>
        <v>0</v>
      </c>
      <c r="CF219" s="394">
        <f t="shared" si="180"/>
        <v>-7353.3955039999992</v>
      </c>
      <c r="CG219" s="394">
        <f t="shared" si="180"/>
        <v>0</v>
      </c>
      <c r="CH219" s="394">
        <f t="shared" si="180"/>
        <v>0</v>
      </c>
      <c r="CI219" s="394">
        <f t="shared" si="180"/>
        <v>0</v>
      </c>
      <c r="CJ219" s="394">
        <f t="shared" si="180"/>
        <v>-7353.3955039999992</v>
      </c>
      <c r="CK219" s="394">
        <f t="shared" si="180"/>
        <v>0</v>
      </c>
      <c r="CL219" s="394">
        <f t="shared" si="180"/>
        <v>0</v>
      </c>
      <c r="CM219" s="394">
        <f t="shared" si="180"/>
        <v>0</v>
      </c>
    </row>
    <row r="220" spans="43:91" x14ac:dyDescent="0.25">
      <c r="AR220" t="s">
        <v>915</v>
      </c>
      <c r="AS220" s="387">
        <f>SUMIFS(AS2:AS206,G2:G206,"ADAC",E2:E206,"0450",F2:F206,"00",AT2:AT206,1)</f>
        <v>0</v>
      </c>
      <c r="AT220" s="387">
        <f>SUMIFS(AS2:AS206,G2:G206,"ADAC",E2:E206,"0450",F2:F206,"00",AT2:AT206,3)</f>
        <v>0</v>
      </c>
      <c r="AU220" s="387">
        <f>SUMIFS(AU2:AU206,G2:G206,"ADAC",E2:E206,"0450",F2:F206,"00")</f>
        <v>0</v>
      </c>
      <c r="AV220" s="387">
        <f>SUMIFS(AV2:AV206,G2:G206,"ADAC",E2:E206,"0450",F2:F206,"00")</f>
        <v>0</v>
      </c>
      <c r="AW220" s="387">
        <f>SUMIFS(AW2:AW206,G2:G206,"ADAC",E2:E206,"0450",F2:F206,"00")</f>
        <v>0</v>
      </c>
      <c r="AX220" s="387">
        <f>SUMIFS(AX2:AX206,G2:G206,"ADAC",E2:E206,"0450",F2:F206,"00")</f>
        <v>0</v>
      </c>
      <c r="AY220" s="387">
        <f>SUMIFS(AY2:AY206,G2:G206,"ADAC",E2:E206,"0450",F2:F206,"00")</f>
        <v>0</v>
      </c>
      <c r="AZ220" s="387">
        <f>SUMIFS(AZ2:AZ206,G2:G206,"ADAC",E2:E206,"0450",F2:F206,"00")</f>
        <v>0</v>
      </c>
      <c r="BA220" s="387">
        <f>SUMIFS(BA2:BA206,G2:G206,"ADAC",E2:E206,"0450",F2:F206,"00")</f>
        <v>0</v>
      </c>
      <c r="BB220" s="387">
        <f>SUMIFS(BB2:BB206,G2:G206,"ADAC",E2:E206,"0450",F2:F206,"00")</f>
        <v>0</v>
      </c>
      <c r="BC220" s="387">
        <f>SUMIFS(BC2:BC206,G2:G206,"ADAC",E2:E206,"0450",F2:F206,"00")</f>
        <v>0</v>
      </c>
      <c r="BD220" s="387">
        <f>SUMIFS(BD2:BD206,G2:G206,"ADAC",E2:E206,"0450",F2:F206,"00")</f>
        <v>0</v>
      </c>
      <c r="BE220" s="387">
        <f>SUMIFS(BE2:BE206,G2:G206,"ADAC",E2:E206,"0450",F2:F206,"00")</f>
        <v>0</v>
      </c>
      <c r="BF220" s="387">
        <f>SUMIFS(BF2:BF206,G2:G206,"ADAC",E2:E206,"0450",F2:F206,"00")</f>
        <v>0</v>
      </c>
      <c r="BG220" s="387">
        <f>SUMIFS(BG2:BG206,G2:G206,"ADAC",E2:E206,"0450",F2:F206,"00")</f>
        <v>0</v>
      </c>
      <c r="BH220" s="387">
        <f>SUMIFS(BH2:BH206,G2:G206,"ADAC",E2:E206,"0450",F2:F206,"00")</f>
        <v>0</v>
      </c>
      <c r="BI220" s="387">
        <f>SUMIFS(BI2:BI206,G2:G206,"ADAC",E2:E206,"0450",F2:F206,"00")</f>
        <v>0</v>
      </c>
      <c r="BJ220" s="387">
        <f>SUMIFS(BJ2:BJ206,G2:G206,"ADAC",E2:E206,"0450",F2:F206,"00")</f>
        <v>0</v>
      </c>
      <c r="BK220" s="387">
        <f>SUMIFS(BK2:BK206,G2:G206,"ADAC",E2:E206,"0450",F2:F206,"00")</f>
        <v>0</v>
      </c>
      <c r="BL220" s="387">
        <f>SUMIFS(BL2:BL206,G2:G206,"ADAC",E2:E206,"0450",F2:F206,"00")</f>
        <v>0</v>
      </c>
      <c r="BM220" s="387">
        <f>SUMIFS(BM2:BM206,G2:G206,"ADAC",E2:E206,"0450",F2:F206,"00")</f>
        <v>0</v>
      </c>
      <c r="BN220" s="387">
        <f>SUMIFS(BN2:BN206,G2:G206,"ADAC",E2:E206,"0450",F2:F206,"00")</f>
        <v>0</v>
      </c>
      <c r="BO220" s="387">
        <f>SUMIFS(BO2:BO206,G2:G206,"ADAC",E2:E206,"0450",F2:F206,"00")</f>
        <v>0</v>
      </c>
      <c r="BP220" s="387">
        <f>SUMIFS(BP2:BP206,G2:G206,"ADAC",E2:E206,"0450",F2:F206,"00")</f>
        <v>0</v>
      </c>
      <c r="BQ220" s="387">
        <f>SUMIFS(BQ2:BQ206,G2:G206,"ADAC",E2:E206,"0450",F2:F206,"00")</f>
        <v>0</v>
      </c>
      <c r="BR220" s="387">
        <f>SUMIFS(BR2:BR206,G2:G206,"ADAC",E2:E206,"0450",F2:F206,"00")</f>
        <v>0</v>
      </c>
      <c r="BS220" s="387">
        <f>SUMIFS(BS2:BS206,G2:G206,"ADAC",E2:E206,"0450",F2:F206,"00")</f>
        <v>0</v>
      </c>
      <c r="BT220" s="387">
        <f>SUMIFS(BT2:BT206,G2:G206,"ADAC",E2:E206,"0450",F2:F206,"00")</f>
        <v>0</v>
      </c>
      <c r="BU220" s="387">
        <f>SUMIFS(BU2:BU206,G2:G206,"ADAC",E2:E206,"0450",F2:F206,"00")</f>
        <v>0</v>
      </c>
      <c r="BV220" s="387">
        <f>SUMIFS(BV2:BV206,G2:G206,"ADAC",E2:E206,"0450",F2:F206,"00")</f>
        <v>0</v>
      </c>
      <c r="BW220" s="387">
        <f>SUMIFS(BW2:BW206,G2:G206,"ADAC",E2:E206,"0450",F2:F206,"00")</f>
        <v>0</v>
      </c>
      <c r="BX220" s="387">
        <f>SUMIFS(BX2:BX206,G2:G206,"ADAC",E2:E206,"0450",F2:F206,"00")</f>
        <v>0</v>
      </c>
      <c r="BY220" s="387">
        <f>SUMIFS(BY2:BY206,G2:G206,"ADAC",E2:E206,"0450",F2:F206,"00")</f>
        <v>0</v>
      </c>
      <c r="BZ220" s="387">
        <f>SUMIFS(BZ2:BZ206,G2:G206,"ADAC",E2:E206,"0450",F2:F206,"00")</f>
        <v>0</v>
      </c>
      <c r="CA220" s="387">
        <f>SUMIFS(CA2:CA206,G2:G206,"ADAC",E2:E206,"0450",F2:F206,"00")</f>
        <v>0</v>
      </c>
      <c r="CB220" s="387">
        <f>SUMIFS(CB2:CB206,G2:G206,"ADAC",E2:E206,"0450",F2:F206,"00")</f>
        <v>0</v>
      </c>
      <c r="CC220" s="387">
        <f>SUMIFS(CC2:CC206,G2:G206,"ADAC",E2:E206,"0450",F2:F206,"00")</f>
        <v>0</v>
      </c>
      <c r="CD220" s="387">
        <f>SUMIFS(CD2:CD206,G2:G206,"ADAC",E2:E206,"0450",F2:F206,"00")</f>
        <v>0</v>
      </c>
      <c r="CE220" s="387">
        <f>SUMIFS(CE2:CE206,G2:G206,"ADAC",E2:E206,"0450",F2:F206,"00")</f>
        <v>0</v>
      </c>
      <c r="CF220" s="387">
        <f>SUMIFS(CF2:CF206,G2:G206,"ADAC",E2:E206,"0450",F2:F206,"00")</f>
        <v>0</v>
      </c>
      <c r="CG220" s="387">
        <f>SUMIFS(CG2:CG206,G2:G206,"ADAC",E2:E206,"0450",F2:F206,"00")</f>
        <v>0</v>
      </c>
      <c r="CH220" s="387">
        <f>SUMIFS(CH2:CH206,G2:G206,"ADAC",E2:E206,"0450",F2:F206,"00")</f>
        <v>0</v>
      </c>
      <c r="CI220" s="387">
        <f>SUMIFS(CI2:CI206,G2:G206,"ADAC",E2:E206,"0450",F2:F206,"00")</f>
        <v>0</v>
      </c>
      <c r="CJ220" s="387">
        <f>SUMIFS(CJ2:CJ206,G2:G206,"ADAC",E2:E206,"0450",F2:F206,"00")</f>
        <v>0</v>
      </c>
      <c r="CK220" s="387">
        <f>SUMIFS(CK2:CK206,G2:G206,"ADAC",E2:E206,"0450",F2:F206,"00")</f>
        <v>0</v>
      </c>
      <c r="CL220" s="387">
        <f>SUMIFS(CL2:CL206,G2:G206,"ADAC",E2:E206,"0450",F2:F206,"00")</f>
        <v>0</v>
      </c>
      <c r="CM220" s="387">
        <f>SUMIFS(CM2:CM206,G2:G206,"ADAC",E2:E206,"0450",F2:F206,"00")</f>
        <v>0</v>
      </c>
    </row>
    <row r="221" spans="43:91" ht="15.75" thickBot="1" x14ac:dyDescent="0.3">
      <c r="AR221" t="s">
        <v>916</v>
      </c>
      <c r="AS221" s="387">
        <f>SUMIFS(AS2:AS206,G2:G206,"ADAC",E2:E206,"0450",F2:F206,"26",AT2:AT206,1)</f>
        <v>34.200000000000003</v>
      </c>
      <c r="AT221" s="387">
        <f>SUMIFS(AS2:AS206,G2:G206,"ADAC",E2:E206,"0450",F2:F206,"26",AT2:AT206,3)</f>
        <v>0</v>
      </c>
      <c r="AU221" s="387">
        <f>SUMIFS(AU2:AU206,G2:G206,"ADAC",E2:E206,"0450",F2:F206,"26")</f>
        <v>36</v>
      </c>
      <c r="AV221" s="387">
        <f>SUMIFS(AV2:AV206,G2:G206,"ADAC",E2:E206,"0450",F2:F206,"26")</f>
        <v>0</v>
      </c>
      <c r="AW221" s="387">
        <f>SUMIFS(AW2:AW206,G2:G206,"ADAC",E2:E206,"0450",F2:F206,"26")</f>
        <v>39</v>
      </c>
      <c r="AX221" s="387">
        <f>SUMIFS(AX2:AX206,G2:G206,"ADAC",E2:E206,"0450",F2:F206,"26")</f>
        <v>1828174.3999999997</v>
      </c>
      <c r="AY221" s="387">
        <f>SUMIFS(AY2:AY206,G2:G206,"ADAC",E2:E206,"0450",F2:F206,"26")</f>
        <v>1688633.4399999997</v>
      </c>
      <c r="AZ221" s="387">
        <f>SUMIFS(AZ2:AZ206,G2:G206,"ADAC",E2:E206,"0450",F2:F206,"26")</f>
        <v>0</v>
      </c>
      <c r="BA221" s="387">
        <f>SUMIFS(BA2:BA206,G2:G206,"ADAC",E2:E206,"0450",F2:F206,"26")</f>
        <v>0</v>
      </c>
      <c r="BB221" s="387">
        <f>SUMIFS(BB2:BB206,G2:G206,"ADAC",E2:E206,"0450",F2:F206,"26")</f>
        <v>398430</v>
      </c>
      <c r="BC221" s="387">
        <f>SUMIFS(BC2:BC206,G2:G206,"ADAC",E2:E206,"0450",F2:F206,"26")</f>
        <v>0</v>
      </c>
      <c r="BD221" s="387">
        <f>SUMIFS(BD2:BD206,G2:G206,"ADAC",E2:E206,"0450",F2:F206,"26")</f>
        <v>104695.27327999996</v>
      </c>
      <c r="BE221" s="387">
        <f>SUMIFS(BE2:BE206,G2:G206,"ADAC",E2:E206,"0450",F2:F206,"26")</f>
        <v>24485.184880000008</v>
      </c>
      <c r="BF221" s="387">
        <f>SUMIFS(BF2:BF206,G2:G206,"ADAC",E2:E206,"0450",F2:F206,"26")</f>
        <v>201622.83273600007</v>
      </c>
      <c r="BG221" s="387">
        <f>SUMIFS(BG2:BG206,G2:G206,"ADAC",E2:E206,"0450",F2:F206,"26")</f>
        <v>12175.047102400003</v>
      </c>
      <c r="BH221" s="387">
        <f>SUMIFS(BH2:BH206,G2:G206,"ADAC",E2:E206,"0450",F2:F206,"26")</f>
        <v>8274.3038559999986</v>
      </c>
      <c r="BI221" s="387">
        <f>SUMIFS(BI2:BI206,G2:G206,"ADAC",E2:E206,"0450",F2:F206,"26")</f>
        <v>4696.9550783999994</v>
      </c>
      <c r="BJ221" s="387">
        <f>SUMIFS(BJ2:BJ206,G2:G206,"ADAC",E2:E206,"0450",F2:F206,"26")</f>
        <v>23472.004815999997</v>
      </c>
      <c r="BK221" s="387">
        <f>SUMIFS(BK2:BK206,G2:G206,"ADAC",E2:E206,"0450",F2:F206,"26")</f>
        <v>0</v>
      </c>
      <c r="BL221" s="387">
        <f>SUMIFS(BL2:BL206,G2:G206,"ADAC",E2:E206,"0450",F2:F206,"26")</f>
        <v>379421.60174880002</v>
      </c>
      <c r="BM221" s="387">
        <f>SUMIFS(BM2:BM206,G2:G206,"ADAC",E2:E206,"0450",F2:F206,"26")</f>
        <v>0</v>
      </c>
      <c r="BN221" s="387">
        <f>SUMIFS(BN2:BN206,G2:G206,"ADAC",E2:E206,"0450",F2:F206,"26")</f>
        <v>398430</v>
      </c>
      <c r="BO221" s="387">
        <f>SUMIFS(BO2:BO206,G2:G206,"ADAC",E2:E206,"0450",F2:F206,"26")</f>
        <v>0</v>
      </c>
      <c r="BP221" s="387">
        <f>SUMIFS(BP2:BP206,G2:G206,"ADAC",E2:E206,"0450",F2:F206,"26")</f>
        <v>104695.27327999996</v>
      </c>
      <c r="BQ221" s="387">
        <f>SUMIFS(BQ2:BQ206,G2:G206,"ADAC",E2:E206,"0450",F2:F206,"26")</f>
        <v>24485.184880000008</v>
      </c>
      <c r="BR221" s="387">
        <f>SUMIFS(BR2:BR206,G2:G206,"ADAC",E2:E206,"0450",F2:F206,"26")</f>
        <v>201622.83273600007</v>
      </c>
      <c r="BS221" s="387">
        <f>SUMIFS(BS2:BS206,G2:G206,"ADAC",E2:E206,"0450",F2:F206,"26")</f>
        <v>12175.047102400003</v>
      </c>
      <c r="BT221" s="387">
        <f>SUMIFS(BT2:BT206,G2:G206,"ADAC",E2:E206,"0450",F2:F206,"26")</f>
        <v>0</v>
      </c>
      <c r="BU221" s="387">
        <f>SUMIFS(BU2:BU206,G2:G206,"ADAC",E2:E206,"0450",F2:F206,"26")</f>
        <v>4696.9550783999994</v>
      </c>
      <c r="BV221" s="387">
        <f>SUMIFS(BV2:BV206,G2:G206,"ADAC",E2:E206,"0450",F2:F206,"26")</f>
        <v>23472.004815999997</v>
      </c>
      <c r="BW221" s="387">
        <f>SUMIFS(BW2:BW206,G2:G206,"ADAC",E2:E206,"0450",F2:F206,"26")</f>
        <v>0</v>
      </c>
      <c r="BX221" s="387">
        <f>SUMIFS(BX2:BX206,G2:G206,"ADAC",E2:E206,"0450",F2:F206,"26")</f>
        <v>371147.29789280001</v>
      </c>
      <c r="BY221" s="387">
        <f>SUMIFS(BY2:BY206,G2:G206,"ADAC",E2:E206,"0450",F2:F206,"26")</f>
        <v>0</v>
      </c>
      <c r="BZ221" s="387">
        <f>SUMIFS(BZ2:BZ206,G2:G206,"ADAC",E2:E206,"0450",F2:F206,"26")</f>
        <v>0</v>
      </c>
      <c r="CA221" s="387">
        <f>SUMIFS(CA2:CA206,G2:G206,"ADAC",E2:E206,"0450",F2:F206,"26")</f>
        <v>0</v>
      </c>
      <c r="CB221" s="387">
        <f>SUMIFS(CB2:CB206,G2:G206,"ADAC",E2:E206,"0450",F2:F206,"26")</f>
        <v>0</v>
      </c>
      <c r="CC221" s="387">
        <f>SUMIFS(CC2:CC206,G2:G206,"ADAC",E2:E206,"0450",F2:F206,"26")</f>
        <v>0</v>
      </c>
      <c r="CD221" s="387">
        <f>SUMIFS(CD2:CD206,G2:G206,"ADAC",E2:E206,"0450",F2:F206,"26")</f>
        <v>0</v>
      </c>
      <c r="CE221" s="387">
        <f>SUMIFS(CE2:CE206,G2:G206,"ADAC",E2:E206,"0450",F2:F206,"26")</f>
        <v>0</v>
      </c>
      <c r="CF221" s="387">
        <f>SUMIFS(CF2:CF206,G2:G206,"ADAC",E2:E206,"0450",F2:F206,"26")</f>
        <v>-8274.3038559999986</v>
      </c>
      <c r="CG221" s="387">
        <f>SUMIFS(CG2:CG206,G2:G206,"ADAC",E2:E206,"0450",F2:F206,"26")</f>
        <v>0</v>
      </c>
      <c r="CH221" s="387">
        <f>SUMIFS(CH2:CH206,G2:G206,"ADAC",E2:E206,"0450",F2:F206,"26")</f>
        <v>0</v>
      </c>
      <c r="CI221" s="387">
        <f>SUMIFS(CI2:CI206,G2:G206,"ADAC",E2:E206,"0450",F2:F206,"26")</f>
        <v>0</v>
      </c>
      <c r="CJ221" s="387">
        <f>SUMIFS(CJ2:CJ206,G2:G206,"ADAC",E2:E206,"0450",F2:F206,"26")</f>
        <v>-8274.3038559999986</v>
      </c>
      <c r="CK221" s="387">
        <f>SUMIFS(CK2:CK206,G2:G206,"ADAC",E2:E206,"0450",F2:F206,"26")</f>
        <v>0</v>
      </c>
      <c r="CL221" s="387">
        <f>SUMIFS(CL2:CL206,G2:G206,"ADAC",E2:E206,"0450",F2:F206,"26")</f>
        <v>9212.15</v>
      </c>
      <c r="CM221" s="387">
        <f>SUMIFS(CM2:CM206,G2:G206,"ADAC",E2:E206,"0450",F2:F206,"26")</f>
        <v>2532.79</v>
      </c>
    </row>
    <row r="222" spans="43:91" ht="18.75" x14ac:dyDescent="0.3">
      <c r="AQ222" s="393" t="s">
        <v>917</v>
      </c>
      <c r="AS222" s="394">
        <f t="shared" ref="AS222:CM222" si="181">SUM(AS220:AS221)</f>
        <v>34.200000000000003</v>
      </c>
      <c r="AT222" s="394">
        <f t="shared" si="181"/>
        <v>0</v>
      </c>
      <c r="AU222" s="394">
        <f t="shared" si="181"/>
        <v>36</v>
      </c>
      <c r="AV222" s="394">
        <f t="shared" si="181"/>
        <v>0</v>
      </c>
      <c r="AW222" s="394">
        <f t="shared" si="181"/>
        <v>39</v>
      </c>
      <c r="AX222" s="394">
        <f t="shared" si="181"/>
        <v>1828174.3999999997</v>
      </c>
      <c r="AY222" s="394">
        <f t="shared" si="181"/>
        <v>1688633.4399999997</v>
      </c>
      <c r="AZ222" s="394">
        <f t="shared" si="181"/>
        <v>0</v>
      </c>
      <c r="BA222" s="394">
        <f t="shared" si="181"/>
        <v>0</v>
      </c>
      <c r="BB222" s="394">
        <f t="shared" si="181"/>
        <v>398430</v>
      </c>
      <c r="BC222" s="394">
        <f t="shared" si="181"/>
        <v>0</v>
      </c>
      <c r="BD222" s="394">
        <f t="shared" si="181"/>
        <v>104695.27327999996</v>
      </c>
      <c r="BE222" s="394">
        <f t="shared" si="181"/>
        <v>24485.184880000008</v>
      </c>
      <c r="BF222" s="394">
        <f t="shared" si="181"/>
        <v>201622.83273600007</v>
      </c>
      <c r="BG222" s="394">
        <f t="shared" si="181"/>
        <v>12175.047102400003</v>
      </c>
      <c r="BH222" s="394">
        <f t="shared" si="181"/>
        <v>8274.3038559999986</v>
      </c>
      <c r="BI222" s="394">
        <f t="shared" si="181"/>
        <v>4696.9550783999994</v>
      </c>
      <c r="BJ222" s="394">
        <f t="shared" si="181"/>
        <v>23472.004815999997</v>
      </c>
      <c r="BK222" s="394">
        <f t="shared" si="181"/>
        <v>0</v>
      </c>
      <c r="BL222" s="394">
        <f t="shared" si="181"/>
        <v>379421.60174880002</v>
      </c>
      <c r="BM222" s="394">
        <f t="shared" si="181"/>
        <v>0</v>
      </c>
      <c r="BN222" s="394">
        <f t="shared" si="181"/>
        <v>398430</v>
      </c>
      <c r="BO222" s="394">
        <f t="shared" si="181"/>
        <v>0</v>
      </c>
      <c r="BP222" s="394">
        <f t="shared" si="181"/>
        <v>104695.27327999996</v>
      </c>
      <c r="BQ222" s="394">
        <f t="shared" si="181"/>
        <v>24485.184880000008</v>
      </c>
      <c r="BR222" s="394">
        <f t="shared" si="181"/>
        <v>201622.83273600007</v>
      </c>
      <c r="BS222" s="394">
        <f t="shared" si="181"/>
        <v>12175.047102400003</v>
      </c>
      <c r="BT222" s="394">
        <f t="shared" si="181"/>
        <v>0</v>
      </c>
      <c r="BU222" s="394">
        <f t="shared" si="181"/>
        <v>4696.9550783999994</v>
      </c>
      <c r="BV222" s="394">
        <f t="shared" si="181"/>
        <v>23472.004815999997</v>
      </c>
      <c r="BW222" s="394">
        <f t="shared" si="181"/>
        <v>0</v>
      </c>
      <c r="BX222" s="394">
        <f t="shared" si="181"/>
        <v>371147.29789280001</v>
      </c>
      <c r="BY222" s="394">
        <f t="shared" si="181"/>
        <v>0</v>
      </c>
      <c r="BZ222" s="394">
        <f t="shared" si="181"/>
        <v>0</v>
      </c>
      <c r="CA222" s="394">
        <f t="shared" si="181"/>
        <v>0</v>
      </c>
      <c r="CB222" s="394">
        <f t="shared" si="181"/>
        <v>0</v>
      </c>
      <c r="CC222" s="394">
        <f t="shared" si="181"/>
        <v>0</v>
      </c>
      <c r="CD222" s="394">
        <f t="shared" si="181"/>
        <v>0</v>
      </c>
      <c r="CE222" s="394">
        <f t="shared" si="181"/>
        <v>0</v>
      </c>
      <c r="CF222" s="394">
        <f t="shared" si="181"/>
        <v>-8274.3038559999986</v>
      </c>
      <c r="CG222" s="394">
        <f t="shared" si="181"/>
        <v>0</v>
      </c>
      <c r="CH222" s="394">
        <f t="shared" si="181"/>
        <v>0</v>
      </c>
      <c r="CI222" s="394">
        <f t="shared" si="181"/>
        <v>0</v>
      </c>
      <c r="CJ222" s="394">
        <f t="shared" si="181"/>
        <v>-8274.3038559999986</v>
      </c>
      <c r="CK222" s="394">
        <f t="shared" si="181"/>
        <v>0</v>
      </c>
      <c r="CL222" s="394">
        <f t="shared" si="181"/>
        <v>9212.15</v>
      </c>
      <c r="CM222" s="394">
        <f t="shared" si="181"/>
        <v>2532.79</v>
      </c>
    </row>
    <row r="223" spans="43:91" ht="15.75" thickBot="1" x14ac:dyDescent="0.3">
      <c r="AR223" t="s">
        <v>919</v>
      </c>
      <c r="AS223" s="387">
        <f>SUMIFS(AS2:AS206,G2:G206,"ADAD",E2:E206,"0001",F2:F206,"00",AT2:AT206,1)</f>
        <v>10.92</v>
      </c>
      <c r="AT223" s="387">
        <f>SUMIFS(AS2:AS206,G2:G206,"ADAD",E2:E206,"0001",F2:F206,"00",AT2:AT206,3)</f>
        <v>0</v>
      </c>
      <c r="AU223" s="387">
        <f>SUMIFS(AU2:AU206,G2:G206,"ADAD",E2:E206,"0001",F2:F206,"00")</f>
        <v>14</v>
      </c>
      <c r="AV223" s="387">
        <f>SUMIFS(AV2:AV206,G2:G206,"ADAD",E2:E206,"0001",F2:F206,"00")</f>
        <v>0</v>
      </c>
      <c r="AW223" s="387">
        <f>SUMIFS(AW2:AW206,G2:G206,"ADAD",E2:E206,"0001",F2:F206,"00")</f>
        <v>28</v>
      </c>
      <c r="AX223" s="387">
        <f>SUMIFS(AX2:AX206,G2:G206,"ADAD",E2:E206,"0001",F2:F206,"00")</f>
        <v>472076.6999999999</v>
      </c>
      <c r="AY223" s="387">
        <f>SUMIFS(AY2:AY206,G2:G206,"ADAD",E2:E206,"0001",F2:F206,"00")</f>
        <v>368219.8600000001</v>
      </c>
      <c r="AZ223" s="387">
        <f>SUMIFS(AZ2:AZ206,G2:G206,"ADAD",E2:E206,"0001",F2:F206,"00")</f>
        <v>0</v>
      </c>
      <c r="BA223" s="387">
        <f>SUMIFS(BA2:BA206,G2:G206,"ADAD",E2:E206,"0001",F2:F206,"00")</f>
        <v>0</v>
      </c>
      <c r="BB223" s="387">
        <f>SUMIFS(BB2:BB206,G2:G206,"ADAD",E2:E206,"0001",F2:F206,"00")</f>
        <v>127218</v>
      </c>
      <c r="BC223" s="387">
        <f>SUMIFS(BC2:BC206,G2:G206,"ADAD",E2:E206,"0001",F2:F206,"00")</f>
        <v>0</v>
      </c>
      <c r="BD223" s="387">
        <f>SUMIFS(BD2:BD206,G2:G206,"ADAD",E2:E206,"0001",F2:F206,"00")</f>
        <v>22829.631319999997</v>
      </c>
      <c r="BE223" s="387">
        <f>SUMIFS(BE2:BE206,G2:G206,"ADAD",E2:E206,"0001",F2:F206,"00")</f>
        <v>5339.18797</v>
      </c>
      <c r="BF223" s="387">
        <f>SUMIFS(BF2:BF206,G2:G206,"ADAD",E2:E206,"0001",F2:F206,"00")</f>
        <v>43965.451283999995</v>
      </c>
      <c r="BG223" s="387">
        <f>SUMIFS(BG2:BG206,G2:G206,"ADAD",E2:E206,"0001",F2:F206,"00")</f>
        <v>2654.8651906000005</v>
      </c>
      <c r="BH223" s="387">
        <f>SUMIFS(BH2:BH206,G2:G206,"ADAD",E2:E206,"0001",F2:F206,"00")</f>
        <v>1804.2773139999999</v>
      </c>
      <c r="BI223" s="387">
        <f>SUMIFS(BI2:BI206,G2:G206,"ADAD",E2:E206,"0001",F2:F206,"00")</f>
        <v>1126.7527716</v>
      </c>
      <c r="BJ223" s="387">
        <f>SUMIFS(BJ2:BJ206,G2:G206,"ADAD",E2:E206,"0001",F2:F206,"00")</f>
        <v>5118.2560540000004</v>
      </c>
      <c r="BK223" s="387">
        <f>SUMIFS(BK2:BK206,G2:G206,"ADAD",E2:E206,"0001",F2:F206,"00")</f>
        <v>0</v>
      </c>
      <c r="BL223" s="387">
        <f>SUMIFS(BL2:BL206,G2:G206,"ADAD",E2:E206,"0001",F2:F206,"00")</f>
        <v>82838.42190419999</v>
      </c>
      <c r="BM223" s="387">
        <f>SUMIFS(BM2:BM206,G2:G206,"ADAD",E2:E206,"0001",F2:F206,"00")</f>
        <v>0</v>
      </c>
      <c r="BN223" s="387">
        <f>SUMIFS(BN2:BN206,G2:G206,"ADAD",E2:E206,"0001",F2:F206,"00")</f>
        <v>127218</v>
      </c>
      <c r="BO223" s="387">
        <f>SUMIFS(BO2:BO206,G2:G206,"ADAD",E2:E206,"0001",F2:F206,"00")</f>
        <v>0</v>
      </c>
      <c r="BP223" s="387">
        <f>SUMIFS(BP2:BP206,G2:G206,"ADAD",E2:E206,"0001",F2:F206,"00")</f>
        <v>22829.631319999997</v>
      </c>
      <c r="BQ223" s="387">
        <f>SUMIFS(BQ2:BQ206,G2:G206,"ADAD",E2:E206,"0001",F2:F206,"00")</f>
        <v>5339.18797</v>
      </c>
      <c r="BR223" s="387">
        <f>SUMIFS(BR2:BR206,G2:G206,"ADAD",E2:E206,"0001",F2:F206,"00")</f>
        <v>43965.451283999995</v>
      </c>
      <c r="BS223" s="387">
        <f>SUMIFS(BS2:BS206,G2:G206,"ADAD",E2:E206,"0001",F2:F206,"00")</f>
        <v>2654.8651906000005</v>
      </c>
      <c r="BT223" s="387">
        <f>SUMIFS(BT2:BT206,G2:G206,"ADAD",E2:E206,"0001",F2:F206,"00")</f>
        <v>0</v>
      </c>
      <c r="BU223" s="387">
        <f>SUMIFS(BU2:BU206,G2:G206,"ADAD",E2:E206,"0001",F2:F206,"00")</f>
        <v>1126.7527716</v>
      </c>
      <c r="BV223" s="387">
        <f>SUMIFS(BV2:BV206,G2:G206,"ADAD",E2:E206,"0001",F2:F206,"00")</f>
        <v>5118.2560540000004</v>
      </c>
      <c r="BW223" s="387">
        <f>SUMIFS(BW2:BW206,G2:G206,"ADAD",E2:E206,"0001",F2:F206,"00")</f>
        <v>0</v>
      </c>
      <c r="BX223" s="387">
        <f>SUMIFS(BX2:BX206,G2:G206,"ADAD",E2:E206,"0001",F2:F206,"00")</f>
        <v>81034.144590200012</v>
      </c>
      <c r="BY223" s="387">
        <f>SUMIFS(BY2:BY206,G2:G206,"ADAD",E2:E206,"0001",F2:F206,"00")</f>
        <v>0</v>
      </c>
      <c r="BZ223" s="387">
        <f>SUMIFS(BZ2:BZ206,G2:G206,"ADAD",E2:E206,"0001",F2:F206,"00")</f>
        <v>0</v>
      </c>
      <c r="CA223" s="387">
        <f>SUMIFS(CA2:CA206,G2:G206,"ADAD",E2:E206,"0001",F2:F206,"00")</f>
        <v>0</v>
      </c>
      <c r="CB223" s="387">
        <f>SUMIFS(CB2:CB206,G2:G206,"ADAD",E2:E206,"0001",F2:F206,"00")</f>
        <v>0</v>
      </c>
      <c r="CC223" s="387">
        <f>SUMIFS(CC2:CC206,G2:G206,"ADAD",E2:E206,"0001",F2:F206,"00")</f>
        <v>0</v>
      </c>
      <c r="CD223" s="387">
        <f>SUMIFS(CD2:CD206,G2:G206,"ADAD",E2:E206,"0001",F2:F206,"00")</f>
        <v>0</v>
      </c>
      <c r="CE223" s="387">
        <f>SUMIFS(CE2:CE206,G2:G206,"ADAD",E2:E206,"0001",F2:F206,"00")</f>
        <v>0</v>
      </c>
      <c r="CF223" s="387">
        <f>SUMIFS(CF2:CF206,G2:G206,"ADAD",E2:E206,"0001",F2:F206,"00")</f>
        <v>-1804.2773139999999</v>
      </c>
      <c r="CG223" s="387">
        <f>SUMIFS(CG2:CG206,G2:G206,"ADAD",E2:E206,"0001",F2:F206,"00")</f>
        <v>0</v>
      </c>
      <c r="CH223" s="387">
        <f>SUMIFS(CH2:CH206,G2:G206,"ADAD",E2:E206,"0001",F2:F206,"00")</f>
        <v>0</v>
      </c>
      <c r="CI223" s="387">
        <f>SUMIFS(CI2:CI206,G2:G206,"ADAD",E2:E206,"0001",F2:F206,"00")</f>
        <v>0</v>
      </c>
      <c r="CJ223" s="387">
        <f>SUMIFS(CJ2:CJ206,G2:G206,"ADAD",E2:E206,"0001",F2:F206,"00")</f>
        <v>-1804.2773139999999</v>
      </c>
      <c r="CK223" s="387">
        <f>SUMIFS(CK2:CK206,G2:G206,"ADAD",E2:E206,"0001",F2:F206,"00")</f>
        <v>0</v>
      </c>
      <c r="CL223" s="387">
        <f>SUMIFS(CL2:CL206,G2:G206,"ADAD",E2:E206,"0001",F2:F206,"00")</f>
        <v>1925</v>
      </c>
      <c r="CM223" s="387">
        <f>SUMIFS(CM2:CM206,G2:G206,"ADAD",E2:E206,"0001",F2:F206,"00")</f>
        <v>399.55</v>
      </c>
    </row>
    <row r="224" spans="43:91" ht="18.75" x14ac:dyDescent="0.3">
      <c r="AQ224" s="393" t="s">
        <v>920</v>
      </c>
      <c r="AS224" s="394">
        <f t="shared" ref="AS224:CM224" si="182">SUM(AS223:AS223)</f>
        <v>10.92</v>
      </c>
      <c r="AT224" s="394">
        <f t="shared" si="182"/>
        <v>0</v>
      </c>
      <c r="AU224" s="394">
        <f t="shared" si="182"/>
        <v>14</v>
      </c>
      <c r="AV224" s="394">
        <f t="shared" si="182"/>
        <v>0</v>
      </c>
      <c r="AW224" s="394">
        <f t="shared" si="182"/>
        <v>28</v>
      </c>
      <c r="AX224" s="394">
        <f t="shared" si="182"/>
        <v>472076.6999999999</v>
      </c>
      <c r="AY224" s="394">
        <f t="shared" si="182"/>
        <v>368219.8600000001</v>
      </c>
      <c r="AZ224" s="394">
        <f t="shared" si="182"/>
        <v>0</v>
      </c>
      <c r="BA224" s="394">
        <f t="shared" si="182"/>
        <v>0</v>
      </c>
      <c r="BB224" s="394">
        <f t="shared" si="182"/>
        <v>127218</v>
      </c>
      <c r="BC224" s="394">
        <f t="shared" si="182"/>
        <v>0</v>
      </c>
      <c r="BD224" s="394">
        <f t="shared" si="182"/>
        <v>22829.631319999997</v>
      </c>
      <c r="BE224" s="394">
        <f t="shared" si="182"/>
        <v>5339.18797</v>
      </c>
      <c r="BF224" s="394">
        <f t="shared" si="182"/>
        <v>43965.451283999995</v>
      </c>
      <c r="BG224" s="394">
        <f t="shared" si="182"/>
        <v>2654.8651906000005</v>
      </c>
      <c r="BH224" s="394">
        <f t="shared" si="182"/>
        <v>1804.2773139999999</v>
      </c>
      <c r="BI224" s="394">
        <f t="shared" si="182"/>
        <v>1126.7527716</v>
      </c>
      <c r="BJ224" s="394">
        <f t="shared" si="182"/>
        <v>5118.2560540000004</v>
      </c>
      <c r="BK224" s="394">
        <f t="shared" si="182"/>
        <v>0</v>
      </c>
      <c r="BL224" s="394">
        <f t="shared" si="182"/>
        <v>82838.42190419999</v>
      </c>
      <c r="BM224" s="394">
        <f t="shared" si="182"/>
        <v>0</v>
      </c>
      <c r="BN224" s="394">
        <f t="shared" si="182"/>
        <v>127218</v>
      </c>
      <c r="BO224" s="394">
        <f t="shared" si="182"/>
        <v>0</v>
      </c>
      <c r="BP224" s="394">
        <f t="shared" si="182"/>
        <v>22829.631319999997</v>
      </c>
      <c r="BQ224" s="394">
        <f t="shared" si="182"/>
        <v>5339.18797</v>
      </c>
      <c r="BR224" s="394">
        <f t="shared" si="182"/>
        <v>43965.451283999995</v>
      </c>
      <c r="BS224" s="394">
        <f t="shared" si="182"/>
        <v>2654.8651906000005</v>
      </c>
      <c r="BT224" s="394">
        <f t="shared" si="182"/>
        <v>0</v>
      </c>
      <c r="BU224" s="394">
        <f t="shared" si="182"/>
        <v>1126.7527716</v>
      </c>
      <c r="BV224" s="394">
        <f t="shared" si="182"/>
        <v>5118.2560540000004</v>
      </c>
      <c r="BW224" s="394">
        <f t="shared" si="182"/>
        <v>0</v>
      </c>
      <c r="BX224" s="394">
        <f t="shared" si="182"/>
        <v>81034.144590200012</v>
      </c>
      <c r="BY224" s="394">
        <f t="shared" si="182"/>
        <v>0</v>
      </c>
      <c r="BZ224" s="394">
        <f t="shared" si="182"/>
        <v>0</v>
      </c>
      <c r="CA224" s="394">
        <f t="shared" si="182"/>
        <v>0</v>
      </c>
      <c r="CB224" s="394">
        <f t="shared" si="182"/>
        <v>0</v>
      </c>
      <c r="CC224" s="394">
        <f t="shared" si="182"/>
        <v>0</v>
      </c>
      <c r="CD224" s="394">
        <f t="shared" si="182"/>
        <v>0</v>
      </c>
      <c r="CE224" s="394">
        <f t="shared" si="182"/>
        <v>0</v>
      </c>
      <c r="CF224" s="394">
        <f t="shared" si="182"/>
        <v>-1804.2773139999999</v>
      </c>
      <c r="CG224" s="394">
        <f t="shared" si="182"/>
        <v>0</v>
      </c>
      <c r="CH224" s="394">
        <f t="shared" si="182"/>
        <v>0</v>
      </c>
      <c r="CI224" s="394">
        <f t="shared" si="182"/>
        <v>0</v>
      </c>
      <c r="CJ224" s="394">
        <f t="shared" si="182"/>
        <v>-1804.2773139999999</v>
      </c>
      <c r="CK224" s="394">
        <f t="shared" si="182"/>
        <v>0</v>
      </c>
      <c r="CL224" s="394">
        <f t="shared" si="182"/>
        <v>1925</v>
      </c>
      <c r="CM224" s="394">
        <f t="shared" si="182"/>
        <v>399.55</v>
      </c>
    </row>
    <row r="225" spans="43:91" x14ac:dyDescent="0.25">
      <c r="AR225" t="s">
        <v>921</v>
      </c>
      <c r="AS225" s="387">
        <f>SUMIFS(AS2:AS206,G2:G206,"ADAD",E2:E206,"0450",F2:F206,"00",AT2:AT206,1)</f>
        <v>0</v>
      </c>
      <c r="AT225" s="387">
        <f>SUMIFS(AS2:AS206,G2:G206,"ADAD",E2:E206,"0450",F2:F206,"00",AT2:AT206,3)</f>
        <v>0</v>
      </c>
      <c r="AU225" s="387">
        <f>SUMIFS(AU2:AU206,G2:G206,"ADAD",E2:E206,"0450",F2:F206,"00")</f>
        <v>0</v>
      </c>
      <c r="AV225" s="387">
        <f>SUMIFS(AV2:AV206,G2:G206,"ADAD",E2:E206,"0450",F2:F206,"00")</f>
        <v>0</v>
      </c>
      <c r="AW225" s="387">
        <f>SUMIFS(AW2:AW206,G2:G206,"ADAD",E2:E206,"0450",F2:F206,"00")</f>
        <v>0</v>
      </c>
      <c r="AX225" s="387">
        <f>SUMIFS(AX2:AX206,G2:G206,"ADAD",E2:E206,"0450",F2:F206,"00")</f>
        <v>0</v>
      </c>
      <c r="AY225" s="387">
        <f>SUMIFS(AY2:AY206,G2:G206,"ADAD",E2:E206,"0450",F2:F206,"00")</f>
        <v>0</v>
      </c>
      <c r="AZ225" s="387">
        <f>SUMIFS(AZ2:AZ206,G2:G206,"ADAD",E2:E206,"0450",F2:F206,"00")</f>
        <v>0</v>
      </c>
      <c r="BA225" s="387">
        <f>SUMIFS(BA2:BA206,G2:G206,"ADAD",E2:E206,"0450",F2:F206,"00")</f>
        <v>0</v>
      </c>
      <c r="BB225" s="387">
        <f>SUMIFS(BB2:BB206,G2:G206,"ADAD",E2:E206,"0450",F2:F206,"00")</f>
        <v>0</v>
      </c>
      <c r="BC225" s="387">
        <f>SUMIFS(BC2:BC206,G2:G206,"ADAD",E2:E206,"0450",F2:F206,"00")</f>
        <v>0</v>
      </c>
      <c r="BD225" s="387">
        <f>SUMIFS(BD2:BD206,G2:G206,"ADAD",E2:E206,"0450",F2:F206,"00")</f>
        <v>0</v>
      </c>
      <c r="BE225" s="387">
        <f>SUMIFS(BE2:BE206,G2:G206,"ADAD",E2:E206,"0450",F2:F206,"00")</f>
        <v>0</v>
      </c>
      <c r="BF225" s="387">
        <f>SUMIFS(BF2:BF206,G2:G206,"ADAD",E2:E206,"0450",F2:F206,"00")</f>
        <v>0</v>
      </c>
      <c r="BG225" s="387">
        <f>SUMIFS(BG2:BG206,G2:G206,"ADAD",E2:E206,"0450",F2:F206,"00")</f>
        <v>0</v>
      </c>
      <c r="BH225" s="387">
        <f>SUMIFS(BH2:BH206,G2:G206,"ADAD",E2:E206,"0450",F2:F206,"00")</f>
        <v>0</v>
      </c>
      <c r="BI225" s="387">
        <f>SUMIFS(BI2:BI206,G2:G206,"ADAD",E2:E206,"0450",F2:F206,"00")</f>
        <v>0</v>
      </c>
      <c r="BJ225" s="387">
        <f>SUMIFS(BJ2:BJ206,G2:G206,"ADAD",E2:E206,"0450",F2:F206,"00")</f>
        <v>0</v>
      </c>
      <c r="BK225" s="387">
        <f>SUMIFS(BK2:BK206,G2:G206,"ADAD",E2:E206,"0450",F2:F206,"00")</f>
        <v>0</v>
      </c>
      <c r="BL225" s="387">
        <f>SUMIFS(BL2:BL206,G2:G206,"ADAD",E2:E206,"0450",F2:F206,"00")</f>
        <v>0</v>
      </c>
      <c r="BM225" s="387">
        <f>SUMIFS(BM2:BM206,G2:G206,"ADAD",E2:E206,"0450",F2:F206,"00")</f>
        <v>0</v>
      </c>
      <c r="BN225" s="387">
        <f>SUMIFS(BN2:BN206,G2:G206,"ADAD",E2:E206,"0450",F2:F206,"00")</f>
        <v>0</v>
      </c>
      <c r="BO225" s="387">
        <f>SUMIFS(BO2:BO206,G2:G206,"ADAD",E2:E206,"0450",F2:F206,"00")</f>
        <v>0</v>
      </c>
      <c r="BP225" s="387">
        <f>SUMIFS(BP2:BP206,G2:G206,"ADAD",E2:E206,"0450",F2:F206,"00")</f>
        <v>0</v>
      </c>
      <c r="BQ225" s="387">
        <f>SUMIFS(BQ2:BQ206,G2:G206,"ADAD",E2:E206,"0450",F2:F206,"00")</f>
        <v>0</v>
      </c>
      <c r="BR225" s="387">
        <f>SUMIFS(BR2:BR206,G2:G206,"ADAD",E2:E206,"0450",F2:F206,"00")</f>
        <v>0</v>
      </c>
      <c r="BS225" s="387">
        <f>SUMIFS(BS2:BS206,G2:G206,"ADAD",E2:E206,"0450",F2:F206,"00")</f>
        <v>0</v>
      </c>
      <c r="BT225" s="387">
        <f>SUMIFS(BT2:BT206,G2:G206,"ADAD",E2:E206,"0450",F2:F206,"00")</f>
        <v>0</v>
      </c>
      <c r="BU225" s="387">
        <f>SUMIFS(BU2:BU206,G2:G206,"ADAD",E2:E206,"0450",F2:F206,"00")</f>
        <v>0</v>
      </c>
      <c r="BV225" s="387">
        <f>SUMIFS(BV2:BV206,G2:G206,"ADAD",E2:E206,"0450",F2:F206,"00")</f>
        <v>0</v>
      </c>
      <c r="BW225" s="387">
        <f>SUMIFS(BW2:BW206,G2:G206,"ADAD",E2:E206,"0450",F2:F206,"00")</f>
        <v>0</v>
      </c>
      <c r="BX225" s="387">
        <f>SUMIFS(BX2:BX206,G2:G206,"ADAD",E2:E206,"0450",F2:F206,"00")</f>
        <v>0</v>
      </c>
      <c r="BY225" s="387">
        <f>SUMIFS(BY2:BY206,G2:G206,"ADAD",E2:E206,"0450",F2:F206,"00")</f>
        <v>0</v>
      </c>
      <c r="BZ225" s="387">
        <f>SUMIFS(BZ2:BZ206,G2:G206,"ADAD",E2:E206,"0450",F2:F206,"00")</f>
        <v>0</v>
      </c>
      <c r="CA225" s="387">
        <f>SUMIFS(CA2:CA206,G2:G206,"ADAD",E2:E206,"0450",F2:F206,"00")</f>
        <v>0</v>
      </c>
      <c r="CB225" s="387">
        <f>SUMIFS(CB2:CB206,G2:G206,"ADAD",E2:E206,"0450",F2:F206,"00")</f>
        <v>0</v>
      </c>
      <c r="CC225" s="387">
        <f>SUMIFS(CC2:CC206,G2:G206,"ADAD",E2:E206,"0450",F2:F206,"00")</f>
        <v>0</v>
      </c>
      <c r="CD225" s="387">
        <f>SUMIFS(CD2:CD206,G2:G206,"ADAD",E2:E206,"0450",F2:F206,"00")</f>
        <v>0</v>
      </c>
      <c r="CE225" s="387">
        <f>SUMIFS(CE2:CE206,G2:G206,"ADAD",E2:E206,"0450",F2:F206,"00")</f>
        <v>0</v>
      </c>
      <c r="CF225" s="387">
        <f>SUMIFS(CF2:CF206,G2:G206,"ADAD",E2:E206,"0450",F2:F206,"00")</f>
        <v>0</v>
      </c>
      <c r="CG225" s="387">
        <f>SUMIFS(CG2:CG206,G2:G206,"ADAD",E2:E206,"0450",F2:F206,"00")</f>
        <v>0</v>
      </c>
      <c r="CH225" s="387">
        <f>SUMIFS(CH2:CH206,G2:G206,"ADAD",E2:E206,"0450",F2:F206,"00")</f>
        <v>0</v>
      </c>
      <c r="CI225" s="387">
        <f>SUMIFS(CI2:CI206,G2:G206,"ADAD",E2:E206,"0450",F2:F206,"00")</f>
        <v>0</v>
      </c>
      <c r="CJ225" s="387">
        <f>SUMIFS(CJ2:CJ206,G2:G206,"ADAD",E2:E206,"0450",F2:F206,"00")</f>
        <v>0</v>
      </c>
      <c r="CK225" s="387">
        <f>SUMIFS(CK2:CK206,G2:G206,"ADAD",E2:E206,"0450",F2:F206,"00")</f>
        <v>0</v>
      </c>
      <c r="CL225" s="387">
        <f>SUMIFS(CL2:CL206,G2:G206,"ADAD",E2:E206,"0450",F2:F206,"00")</f>
        <v>0</v>
      </c>
      <c r="CM225" s="387">
        <f>SUMIFS(CM2:CM206,G2:G206,"ADAD",E2:E206,"0450",F2:F206,"00")</f>
        <v>0</v>
      </c>
    </row>
    <row r="226" spans="43:91" x14ac:dyDescent="0.25">
      <c r="AR226" t="s">
        <v>922</v>
      </c>
      <c r="AS226" s="387">
        <f>SUMIFS(AS2:AS206,G2:G206,"ADAD",E2:E206,"0450",F2:F206,"27",AT2:AT206,1)</f>
        <v>13</v>
      </c>
      <c r="AT226" s="387">
        <f>SUMIFS(AS2:AS206,G2:G206,"ADAD",E2:E206,"0450",F2:F206,"27",AT2:AT206,3)</f>
        <v>0</v>
      </c>
      <c r="AU226" s="387">
        <f>SUMIFS(AU2:AU206,G2:G206,"ADAD",E2:E206,"0450",F2:F206,"27")</f>
        <v>13</v>
      </c>
      <c r="AV226" s="387">
        <f>SUMIFS(AV2:AV206,G2:G206,"ADAD",E2:E206,"0450",F2:F206,"27")</f>
        <v>0</v>
      </c>
      <c r="AW226" s="387">
        <f>SUMIFS(AW2:AW206,G2:G206,"ADAD",E2:E206,"0450",F2:F206,"27")</f>
        <v>14</v>
      </c>
      <c r="AX226" s="387">
        <f>SUMIFS(AX2:AX206,G2:G206,"ADAD",E2:E206,"0450",F2:F206,"27")</f>
        <v>810555.19999999984</v>
      </c>
      <c r="AY226" s="387">
        <f>SUMIFS(AY2:AY206,G2:G206,"ADAD",E2:E206,"0450",F2:F206,"27")</f>
        <v>810555.19999999984</v>
      </c>
      <c r="AZ226" s="387">
        <f>SUMIFS(AZ2:AZ206,G2:G206,"ADAD",E2:E206,"0450",F2:F206,"27")</f>
        <v>0</v>
      </c>
      <c r="BA226" s="387">
        <f>SUMIFS(BA2:BA206,G2:G206,"ADAD",E2:E206,"0450",F2:F206,"27")</f>
        <v>0</v>
      </c>
      <c r="BB226" s="387">
        <f>SUMIFS(BB2:BB206,G2:G206,"ADAD",E2:E206,"0450",F2:F206,"27")</f>
        <v>151450</v>
      </c>
      <c r="BC226" s="387">
        <f>SUMIFS(BC2:BC206,G2:G206,"ADAD",E2:E206,"0450",F2:F206,"27")</f>
        <v>0</v>
      </c>
      <c r="BD226" s="387">
        <f>SUMIFS(BD2:BD206,G2:G206,"ADAD",E2:E206,"0450",F2:F206,"27")</f>
        <v>50254.42240000001</v>
      </c>
      <c r="BE226" s="387">
        <f>SUMIFS(BE2:BE206,G2:G206,"ADAD",E2:E206,"0450",F2:F206,"27")</f>
        <v>11753.0504</v>
      </c>
      <c r="BF226" s="387">
        <f>SUMIFS(BF2:BF206,G2:G206,"ADAD",E2:E206,"0450",F2:F206,"27")</f>
        <v>96780.29088</v>
      </c>
      <c r="BG226" s="387">
        <f>SUMIFS(BG2:BG206,G2:G206,"ADAD",E2:E206,"0450",F2:F206,"27")</f>
        <v>5844.102992000001</v>
      </c>
      <c r="BH226" s="387">
        <f>SUMIFS(BH2:BH206,G2:G206,"ADAD",E2:E206,"0450",F2:F206,"27")</f>
        <v>3971.72048</v>
      </c>
      <c r="BI226" s="387">
        <f>SUMIFS(BI2:BI206,G2:G206,"ADAD",E2:E206,"0450",F2:F206,"27")</f>
        <v>2174.152032</v>
      </c>
      <c r="BJ226" s="387">
        <f>SUMIFS(BJ2:BJ206,G2:G206,"ADAD",E2:E206,"0450",F2:F206,"27")</f>
        <v>11266.717279999999</v>
      </c>
      <c r="BK226" s="387">
        <f>SUMIFS(BK2:BK206,G2:G206,"ADAD",E2:E206,"0450",F2:F206,"27")</f>
        <v>0</v>
      </c>
      <c r="BL226" s="387">
        <f>SUMIFS(BL2:BL206,G2:G206,"ADAD",E2:E206,"0450",F2:F206,"27")</f>
        <v>182044.45646400005</v>
      </c>
      <c r="BM226" s="387">
        <f>SUMIFS(BM2:BM206,G2:G206,"ADAD",E2:E206,"0450",F2:F206,"27")</f>
        <v>0</v>
      </c>
      <c r="BN226" s="387">
        <f>SUMIFS(BN2:BN206,G2:G206,"ADAD",E2:E206,"0450",F2:F206,"27")</f>
        <v>151450</v>
      </c>
      <c r="BO226" s="387">
        <f>SUMIFS(BO2:BO206,G2:G206,"ADAD",E2:E206,"0450",F2:F206,"27")</f>
        <v>0</v>
      </c>
      <c r="BP226" s="387">
        <f>SUMIFS(BP2:BP206,G2:G206,"ADAD",E2:E206,"0450",F2:F206,"27")</f>
        <v>50254.42240000001</v>
      </c>
      <c r="BQ226" s="387">
        <f>SUMIFS(BQ2:BQ206,G2:G206,"ADAD",E2:E206,"0450",F2:F206,"27")</f>
        <v>11753.0504</v>
      </c>
      <c r="BR226" s="387">
        <f>SUMIFS(BR2:BR206,G2:G206,"ADAD",E2:E206,"0450",F2:F206,"27")</f>
        <v>96780.29088</v>
      </c>
      <c r="BS226" s="387">
        <f>SUMIFS(BS2:BS206,G2:G206,"ADAD",E2:E206,"0450",F2:F206,"27")</f>
        <v>5844.102992000001</v>
      </c>
      <c r="BT226" s="387">
        <f>SUMIFS(BT2:BT206,G2:G206,"ADAD",E2:E206,"0450",F2:F206,"27")</f>
        <v>0</v>
      </c>
      <c r="BU226" s="387">
        <f>SUMIFS(BU2:BU206,G2:G206,"ADAD",E2:E206,"0450",F2:F206,"27")</f>
        <v>2174.152032</v>
      </c>
      <c r="BV226" s="387">
        <f>SUMIFS(BV2:BV206,G2:G206,"ADAD",E2:E206,"0450",F2:F206,"27")</f>
        <v>11266.717279999999</v>
      </c>
      <c r="BW226" s="387">
        <f>SUMIFS(BW2:BW206,G2:G206,"ADAD",E2:E206,"0450",F2:F206,"27")</f>
        <v>0</v>
      </c>
      <c r="BX226" s="387">
        <f>SUMIFS(BX2:BX206,G2:G206,"ADAD",E2:E206,"0450",F2:F206,"27")</f>
        <v>178072.73598400003</v>
      </c>
      <c r="BY226" s="387">
        <f>SUMIFS(BY2:BY206,G2:G206,"ADAD",E2:E206,"0450",F2:F206,"27")</f>
        <v>0</v>
      </c>
      <c r="BZ226" s="387">
        <f>SUMIFS(BZ2:BZ206,G2:G206,"ADAD",E2:E206,"0450",F2:F206,"27")</f>
        <v>0</v>
      </c>
      <c r="CA226" s="387">
        <f>SUMIFS(CA2:CA206,G2:G206,"ADAD",E2:E206,"0450",F2:F206,"27")</f>
        <v>0</v>
      </c>
      <c r="CB226" s="387">
        <f>SUMIFS(CB2:CB206,G2:G206,"ADAD",E2:E206,"0450",F2:F206,"27")</f>
        <v>0</v>
      </c>
      <c r="CC226" s="387">
        <f>SUMIFS(CC2:CC206,G2:G206,"ADAD",E2:E206,"0450",F2:F206,"27")</f>
        <v>0</v>
      </c>
      <c r="CD226" s="387">
        <f>SUMIFS(CD2:CD206,G2:G206,"ADAD",E2:E206,"0450",F2:F206,"27")</f>
        <v>0</v>
      </c>
      <c r="CE226" s="387">
        <f>SUMIFS(CE2:CE206,G2:G206,"ADAD",E2:E206,"0450",F2:F206,"27")</f>
        <v>0</v>
      </c>
      <c r="CF226" s="387">
        <f>SUMIFS(CF2:CF206,G2:G206,"ADAD",E2:E206,"0450",F2:F206,"27")</f>
        <v>-3971.72048</v>
      </c>
      <c r="CG226" s="387">
        <f>SUMIFS(CG2:CG206,G2:G206,"ADAD",E2:E206,"0450",F2:F206,"27")</f>
        <v>0</v>
      </c>
      <c r="CH226" s="387">
        <f>SUMIFS(CH2:CH206,G2:G206,"ADAD",E2:E206,"0450",F2:F206,"27")</f>
        <v>0</v>
      </c>
      <c r="CI226" s="387">
        <f>SUMIFS(CI2:CI206,G2:G206,"ADAD",E2:E206,"0450",F2:F206,"27")</f>
        <v>0</v>
      </c>
      <c r="CJ226" s="387">
        <f>SUMIFS(CJ2:CJ206,G2:G206,"ADAD",E2:E206,"0450",F2:F206,"27")</f>
        <v>-3971.72048</v>
      </c>
      <c r="CK226" s="387">
        <f>SUMIFS(CK2:CK206,G2:G206,"ADAD",E2:E206,"0450",F2:F206,"27")</f>
        <v>0</v>
      </c>
      <c r="CL226" s="387">
        <f>SUMIFS(CL2:CL206,G2:G206,"ADAD",E2:E206,"0450",F2:F206,"27")</f>
        <v>0</v>
      </c>
      <c r="CM226" s="387">
        <f>SUMIFS(CM2:CM206,G2:G206,"ADAD",E2:E206,"0450",F2:F206,"27")</f>
        <v>0</v>
      </c>
    </row>
    <row r="227" spans="43:91" ht="15.75" thickBot="1" x14ac:dyDescent="0.3">
      <c r="AR227" t="s">
        <v>923</v>
      </c>
      <c r="AS227" s="387">
        <f>SUMIFS(AS2:AS206,G2:G206,"ADAD",E2:E206,"0450",F2:F206,"51",AT2:AT206,1)</f>
        <v>5.080000000000001</v>
      </c>
      <c r="AT227" s="387">
        <f>SUMIFS(AS2:AS206,G2:G206,"ADAD",E2:E206,"0450",F2:F206,"51",AT2:AT206,3)</f>
        <v>0</v>
      </c>
      <c r="AU227" s="387">
        <f>SUMIFS(AU2:AU206,G2:G206,"ADAD",E2:E206,"0450",F2:F206,"51")</f>
        <v>16</v>
      </c>
      <c r="AV227" s="387">
        <f>SUMIFS(AV2:AV206,G2:G206,"ADAD",E2:E206,"0450",F2:F206,"51")</f>
        <v>0</v>
      </c>
      <c r="AW227" s="387">
        <f>SUMIFS(AW2:AW206,G2:G206,"ADAD",E2:E206,"0450",F2:F206,"51")</f>
        <v>30</v>
      </c>
      <c r="AX227" s="387">
        <f>SUMIFS(AX2:AX206,G2:G206,"ADAD",E2:E206,"0450",F2:F206,"51")</f>
        <v>545334.30000000005</v>
      </c>
      <c r="AY227" s="387">
        <f>SUMIFS(AY2:AY206,G2:G206,"ADAD",E2:E206,"0450",F2:F206,"51")</f>
        <v>177114.44</v>
      </c>
      <c r="AZ227" s="387">
        <f>SUMIFS(AZ2:AZ206,G2:G206,"ADAD",E2:E206,"0450",F2:F206,"51")</f>
        <v>0</v>
      </c>
      <c r="BA227" s="387">
        <f>SUMIFS(BA2:BA206,G2:G206,"ADAD",E2:E206,"0450",F2:F206,"51")</f>
        <v>0</v>
      </c>
      <c r="BB227" s="387">
        <f>SUMIFS(BB2:BB206,G2:G206,"ADAD",E2:E206,"0450",F2:F206,"51")</f>
        <v>59182</v>
      </c>
      <c r="BC227" s="387">
        <f>SUMIFS(BC2:BC206,G2:G206,"ADAD",E2:E206,"0450",F2:F206,"51")</f>
        <v>0</v>
      </c>
      <c r="BD227" s="387">
        <f>SUMIFS(BD2:BD206,G2:G206,"ADAD",E2:E206,"0450",F2:F206,"51")</f>
        <v>10981.09528</v>
      </c>
      <c r="BE227" s="387">
        <f>SUMIFS(BE2:BE206,G2:G206,"ADAD",E2:E206,"0450",F2:F206,"51")</f>
        <v>2568.1593800000001</v>
      </c>
      <c r="BF227" s="387">
        <f>SUMIFS(BF2:BF206,G2:G206,"ADAD",E2:E206,"0450",F2:F206,"51")</f>
        <v>21147.464136000002</v>
      </c>
      <c r="BG227" s="387">
        <f>SUMIFS(BG2:BG206,G2:G206,"ADAD",E2:E206,"0450",F2:F206,"51")</f>
        <v>1276.9951123999999</v>
      </c>
      <c r="BH227" s="387">
        <f>SUMIFS(BH2:BH206,G2:G206,"ADAD",E2:E206,"0450",F2:F206,"51")</f>
        <v>867.86075600000004</v>
      </c>
      <c r="BI227" s="387">
        <f>SUMIFS(BI2:BI206,G2:G206,"ADAD",E2:E206,"0450",F2:F206,"51")</f>
        <v>541.97018639999999</v>
      </c>
      <c r="BJ227" s="387">
        <f>SUMIFS(BJ2:BJ206,G2:G206,"ADAD",E2:E206,"0450",F2:F206,"51")</f>
        <v>2461.8907159999999</v>
      </c>
      <c r="BK227" s="387">
        <f>SUMIFS(BK2:BK206,G2:G206,"ADAD",E2:E206,"0450",F2:F206,"51")</f>
        <v>0</v>
      </c>
      <c r="BL227" s="387">
        <f>SUMIFS(BL2:BL206,G2:G206,"ADAD",E2:E206,"0450",F2:F206,"51")</f>
        <v>39845.435566800006</v>
      </c>
      <c r="BM227" s="387">
        <f>SUMIFS(BM2:BM206,G2:G206,"ADAD",E2:E206,"0450",F2:F206,"51")</f>
        <v>0</v>
      </c>
      <c r="BN227" s="387">
        <f>SUMIFS(BN2:BN206,G2:G206,"ADAD",E2:E206,"0450",F2:F206,"51")</f>
        <v>59182</v>
      </c>
      <c r="BO227" s="387">
        <f>SUMIFS(BO2:BO206,G2:G206,"ADAD",E2:E206,"0450",F2:F206,"51")</f>
        <v>0</v>
      </c>
      <c r="BP227" s="387">
        <f>SUMIFS(BP2:BP206,G2:G206,"ADAD",E2:E206,"0450",F2:F206,"51")</f>
        <v>10981.09528</v>
      </c>
      <c r="BQ227" s="387">
        <f>SUMIFS(BQ2:BQ206,G2:G206,"ADAD",E2:E206,"0450",F2:F206,"51")</f>
        <v>2568.1593800000001</v>
      </c>
      <c r="BR227" s="387">
        <f>SUMIFS(BR2:BR206,G2:G206,"ADAD",E2:E206,"0450",F2:F206,"51")</f>
        <v>21147.464136000002</v>
      </c>
      <c r="BS227" s="387">
        <f>SUMIFS(BS2:BS206,G2:G206,"ADAD",E2:E206,"0450",F2:F206,"51")</f>
        <v>1276.9951123999999</v>
      </c>
      <c r="BT227" s="387">
        <f>SUMIFS(BT2:BT206,G2:G206,"ADAD",E2:E206,"0450",F2:F206,"51")</f>
        <v>0</v>
      </c>
      <c r="BU227" s="387">
        <f>SUMIFS(BU2:BU206,G2:G206,"ADAD",E2:E206,"0450",F2:F206,"51")</f>
        <v>541.97018639999999</v>
      </c>
      <c r="BV227" s="387">
        <f>SUMIFS(BV2:BV206,G2:G206,"ADAD",E2:E206,"0450",F2:F206,"51")</f>
        <v>2461.8907159999999</v>
      </c>
      <c r="BW227" s="387">
        <f>SUMIFS(BW2:BW206,G2:G206,"ADAD",E2:E206,"0450",F2:F206,"51")</f>
        <v>0</v>
      </c>
      <c r="BX227" s="387">
        <f>SUMIFS(BX2:BX206,G2:G206,"ADAD",E2:E206,"0450",F2:F206,"51")</f>
        <v>38977.574810800004</v>
      </c>
      <c r="BY227" s="387">
        <f>SUMIFS(BY2:BY206,G2:G206,"ADAD",E2:E206,"0450",F2:F206,"51")</f>
        <v>0</v>
      </c>
      <c r="BZ227" s="387">
        <f>SUMIFS(BZ2:BZ206,G2:G206,"ADAD",E2:E206,"0450",F2:F206,"51")</f>
        <v>0</v>
      </c>
      <c r="CA227" s="387">
        <f>SUMIFS(CA2:CA206,G2:G206,"ADAD",E2:E206,"0450",F2:F206,"51")</f>
        <v>0</v>
      </c>
      <c r="CB227" s="387">
        <f>SUMIFS(CB2:CB206,G2:G206,"ADAD",E2:E206,"0450",F2:F206,"51")</f>
        <v>0</v>
      </c>
      <c r="CC227" s="387">
        <f>SUMIFS(CC2:CC206,G2:G206,"ADAD",E2:E206,"0450",F2:F206,"51")</f>
        <v>0</v>
      </c>
      <c r="CD227" s="387">
        <f>SUMIFS(CD2:CD206,G2:G206,"ADAD",E2:E206,"0450",F2:F206,"51")</f>
        <v>0</v>
      </c>
      <c r="CE227" s="387">
        <f>SUMIFS(CE2:CE206,G2:G206,"ADAD",E2:E206,"0450",F2:F206,"51")</f>
        <v>0</v>
      </c>
      <c r="CF227" s="387">
        <f>SUMIFS(CF2:CF206,G2:G206,"ADAD",E2:E206,"0450",F2:F206,"51")</f>
        <v>-867.86075600000004</v>
      </c>
      <c r="CG227" s="387">
        <f>SUMIFS(CG2:CG206,G2:G206,"ADAD",E2:E206,"0450",F2:F206,"51")</f>
        <v>0</v>
      </c>
      <c r="CH227" s="387">
        <f>SUMIFS(CH2:CH206,G2:G206,"ADAD",E2:E206,"0450",F2:F206,"51")</f>
        <v>0</v>
      </c>
      <c r="CI227" s="387">
        <f>SUMIFS(CI2:CI206,G2:G206,"ADAD",E2:E206,"0450",F2:F206,"51")</f>
        <v>0</v>
      </c>
      <c r="CJ227" s="387">
        <f>SUMIFS(CJ2:CJ206,G2:G206,"ADAD",E2:E206,"0450",F2:F206,"51")</f>
        <v>-867.86075600000004</v>
      </c>
      <c r="CK227" s="387">
        <f>SUMIFS(CK2:CK206,G2:G206,"ADAD",E2:E206,"0450",F2:F206,"51")</f>
        <v>0</v>
      </c>
      <c r="CL227" s="387">
        <f>SUMIFS(CL2:CL206,G2:G206,"ADAD",E2:E206,"0450",F2:F206,"51")</f>
        <v>1140</v>
      </c>
      <c r="CM227" s="387">
        <f>SUMIFS(CM2:CM206,G2:G206,"ADAD",E2:E206,"0450",F2:F206,"51")</f>
        <v>97.37</v>
      </c>
    </row>
    <row r="228" spans="43:91" ht="18.75" x14ac:dyDescent="0.3">
      <c r="AQ228" s="393" t="s">
        <v>924</v>
      </c>
      <c r="AS228" s="394">
        <f t="shared" ref="AS228:CM228" si="183">SUM(AS225:AS227)</f>
        <v>18.080000000000002</v>
      </c>
      <c r="AT228" s="394">
        <f t="shared" si="183"/>
        <v>0</v>
      </c>
      <c r="AU228" s="394">
        <f t="shared" si="183"/>
        <v>29</v>
      </c>
      <c r="AV228" s="394">
        <f t="shared" si="183"/>
        <v>0</v>
      </c>
      <c r="AW228" s="394">
        <f t="shared" si="183"/>
        <v>44</v>
      </c>
      <c r="AX228" s="394">
        <f t="shared" si="183"/>
        <v>1355889.5</v>
      </c>
      <c r="AY228" s="394">
        <f t="shared" si="183"/>
        <v>987669.6399999999</v>
      </c>
      <c r="AZ228" s="394">
        <f t="shared" si="183"/>
        <v>0</v>
      </c>
      <c r="BA228" s="394">
        <f t="shared" si="183"/>
        <v>0</v>
      </c>
      <c r="BB228" s="394">
        <f t="shared" si="183"/>
        <v>210632</v>
      </c>
      <c r="BC228" s="394">
        <f t="shared" si="183"/>
        <v>0</v>
      </c>
      <c r="BD228" s="394">
        <f t="shared" si="183"/>
        <v>61235.517680000012</v>
      </c>
      <c r="BE228" s="394">
        <f t="shared" si="183"/>
        <v>14321.209780000001</v>
      </c>
      <c r="BF228" s="394">
        <f t="shared" si="183"/>
        <v>117927.75501600001</v>
      </c>
      <c r="BG228" s="394">
        <f t="shared" si="183"/>
        <v>7121.0981044000009</v>
      </c>
      <c r="BH228" s="394">
        <f t="shared" si="183"/>
        <v>4839.581236</v>
      </c>
      <c r="BI228" s="394">
        <f t="shared" si="183"/>
        <v>2716.1222183999998</v>
      </c>
      <c r="BJ228" s="394">
        <f t="shared" si="183"/>
        <v>13728.607995999999</v>
      </c>
      <c r="BK228" s="394">
        <f t="shared" si="183"/>
        <v>0</v>
      </c>
      <c r="BL228" s="394">
        <f t="shared" si="183"/>
        <v>221889.89203080005</v>
      </c>
      <c r="BM228" s="394">
        <f t="shared" si="183"/>
        <v>0</v>
      </c>
      <c r="BN228" s="394">
        <f t="shared" si="183"/>
        <v>210632</v>
      </c>
      <c r="BO228" s="394">
        <f t="shared" si="183"/>
        <v>0</v>
      </c>
      <c r="BP228" s="394">
        <f t="shared" si="183"/>
        <v>61235.517680000012</v>
      </c>
      <c r="BQ228" s="394">
        <f t="shared" si="183"/>
        <v>14321.209780000001</v>
      </c>
      <c r="BR228" s="394">
        <f t="shared" si="183"/>
        <v>117927.75501600001</v>
      </c>
      <c r="BS228" s="394">
        <f t="shared" si="183"/>
        <v>7121.0981044000009</v>
      </c>
      <c r="BT228" s="394">
        <f t="shared" si="183"/>
        <v>0</v>
      </c>
      <c r="BU228" s="394">
        <f t="shared" si="183"/>
        <v>2716.1222183999998</v>
      </c>
      <c r="BV228" s="394">
        <f t="shared" si="183"/>
        <v>13728.607995999999</v>
      </c>
      <c r="BW228" s="394">
        <f t="shared" si="183"/>
        <v>0</v>
      </c>
      <c r="BX228" s="394">
        <f t="shared" si="183"/>
        <v>217050.31079480003</v>
      </c>
      <c r="BY228" s="394">
        <f t="shared" si="183"/>
        <v>0</v>
      </c>
      <c r="BZ228" s="394">
        <f t="shared" si="183"/>
        <v>0</v>
      </c>
      <c r="CA228" s="394">
        <f t="shared" si="183"/>
        <v>0</v>
      </c>
      <c r="CB228" s="394">
        <f t="shared" si="183"/>
        <v>0</v>
      </c>
      <c r="CC228" s="394">
        <f t="shared" si="183"/>
        <v>0</v>
      </c>
      <c r="CD228" s="394">
        <f t="shared" si="183"/>
        <v>0</v>
      </c>
      <c r="CE228" s="394">
        <f t="shared" si="183"/>
        <v>0</v>
      </c>
      <c r="CF228" s="394">
        <f t="shared" si="183"/>
        <v>-4839.581236</v>
      </c>
      <c r="CG228" s="394">
        <f t="shared" si="183"/>
        <v>0</v>
      </c>
      <c r="CH228" s="394">
        <f t="shared" si="183"/>
        <v>0</v>
      </c>
      <c r="CI228" s="394">
        <f t="shared" si="183"/>
        <v>0</v>
      </c>
      <c r="CJ228" s="394">
        <f t="shared" si="183"/>
        <v>-4839.581236</v>
      </c>
      <c r="CK228" s="394">
        <f t="shared" si="183"/>
        <v>0</v>
      </c>
      <c r="CL228" s="394">
        <f t="shared" si="183"/>
        <v>1140</v>
      </c>
      <c r="CM228" s="394">
        <f t="shared" si="183"/>
        <v>97.37</v>
      </c>
    </row>
    <row r="229" spans="43:91" ht="15.75" thickBot="1" x14ac:dyDescent="0.3">
      <c r="AR229" t="s">
        <v>927</v>
      </c>
      <c r="AS229" s="387">
        <f>SUMIFS(AS2:AS206,G2:G206,"ADAD",E2:E206,"0456",F2:F206,"00",AT2:AT206,1)</f>
        <v>2</v>
      </c>
      <c r="AT229" s="387">
        <f>SUMIFS(AS2:AS206,G2:G206,"ADAD",E2:E206,"0456",F2:F206,"00",AT2:AT206,3)</f>
        <v>0</v>
      </c>
      <c r="AU229" s="387">
        <f>SUMIFS(AU2:AU206,G2:G206,"ADAD",E2:E206,"0456",F2:F206,"00")</f>
        <v>2</v>
      </c>
      <c r="AV229" s="387">
        <f>SUMIFS(AV2:AV206,G2:G206,"ADAD",E2:E206,"0456",F2:F206,"00")</f>
        <v>0</v>
      </c>
      <c r="AW229" s="387">
        <f>SUMIFS(AW2:AW206,G2:G206,"ADAD",E2:E206,"0456",F2:F206,"00")</f>
        <v>4</v>
      </c>
      <c r="AX229" s="387">
        <f>SUMIFS(AX2:AX206,G2:G206,"ADAD",E2:E206,"0456",F2:F206,"00")</f>
        <v>84552</v>
      </c>
      <c r="AY229" s="387">
        <f>SUMIFS(AY2:AY206,G2:G206,"ADAD",E2:E206,"0456",F2:F206,"00")</f>
        <v>84552</v>
      </c>
      <c r="AZ229" s="387">
        <f>SUMIFS(AZ2:AZ206,G2:G206,"ADAD",E2:E206,"0456",F2:F206,"00")</f>
        <v>0</v>
      </c>
      <c r="BA229" s="387">
        <f>SUMIFS(BA2:BA206,G2:G206,"ADAD",E2:E206,"0456",F2:F206,"00")</f>
        <v>0</v>
      </c>
      <c r="BB229" s="387">
        <f>SUMIFS(BB2:BB206,G2:G206,"ADAD",E2:E206,"0456",F2:F206,"00")</f>
        <v>23300</v>
      </c>
      <c r="BC229" s="387">
        <f>SUMIFS(BC2:BC206,G2:G206,"ADAD",E2:E206,"0456",F2:F206,"00")</f>
        <v>0</v>
      </c>
      <c r="BD229" s="387">
        <f>SUMIFS(BD2:BD206,G2:G206,"ADAD",E2:E206,"0456",F2:F206,"00")</f>
        <v>5242.2240000000002</v>
      </c>
      <c r="BE229" s="387">
        <f>SUMIFS(BE2:BE206,G2:G206,"ADAD",E2:E206,"0456",F2:F206,"00")</f>
        <v>1226.0039999999999</v>
      </c>
      <c r="BF229" s="387">
        <f>SUMIFS(BF2:BF206,G2:G206,"ADAD",E2:E206,"0456",F2:F206,"00")</f>
        <v>10095.5088</v>
      </c>
      <c r="BG229" s="387">
        <f>SUMIFS(BG2:BG206,G2:G206,"ADAD",E2:E206,"0456",F2:F206,"00")</f>
        <v>609.61992000000009</v>
      </c>
      <c r="BH229" s="387">
        <f>SUMIFS(BH2:BH206,G2:G206,"ADAD",E2:E206,"0456",F2:F206,"00")</f>
        <v>414.3048</v>
      </c>
      <c r="BI229" s="387">
        <f>SUMIFS(BI2:BI206,G2:G206,"ADAD",E2:E206,"0456",F2:F206,"00")</f>
        <v>258.72911999999997</v>
      </c>
      <c r="BJ229" s="387">
        <f>SUMIFS(BJ2:BJ206,G2:G206,"ADAD",E2:E206,"0456",F2:F206,"00")</f>
        <v>1175.2728</v>
      </c>
      <c r="BK229" s="387">
        <f>SUMIFS(BK2:BK206,G2:G206,"ADAD",E2:E206,"0456",F2:F206,"00")</f>
        <v>0</v>
      </c>
      <c r="BL229" s="387">
        <f>SUMIFS(BL2:BL206,G2:G206,"ADAD",E2:E206,"0456",F2:F206,"00")</f>
        <v>19021.66344</v>
      </c>
      <c r="BM229" s="387">
        <f>SUMIFS(BM2:BM206,G2:G206,"ADAD",E2:E206,"0456",F2:F206,"00")</f>
        <v>0</v>
      </c>
      <c r="BN229" s="387">
        <f>SUMIFS(BN2:BN206,G2:G206,"ADAD",E2:E206,"0456",F2:F206,"00")</f>
        <v>23300</v>
      </c>
      <c r="BO229" s="387">
        <f>SUMIFS(BO2:BO206,G2:G206,"ADAD",E2:E206,"0456",F2:F206,"00")</f>
        <v>0</v>
      </c>
      <c r="BP229" s="387">
        <f>SUMIFS(BP2:BP206,G2:G206,"ADAD",E2:E206,"0456",F2:F206,"00")</f>
        <v>5242.2240000000002</v>
      </c>
      <c r="BQ229" s="387">
        <f>SUMIFS(BQ2:BQ206,G2:G206,"ADAD",E2:E206,"0456",F2:F206,"00")</f>
        <v>1226.0039999999999</v>
      </c>
      <c r="BR229" s="387">
        <f>SUMIFS(BR2:BR206,G2:G206,"ADAD",E2:E206,"0456",F2:F206,"00")</f>
        <v>10095.5088</v>
      </c>
      <c r="BS229" s="387">
        <f>SUMIFS(BS2:BS206,G2:G206,"ADAD",E2:E206,"0456",F2:F206,"00")</f>
        <v>609.61992000000009</v>
      </c>
      <c r="BT229" s="387">
        <f>SUMIFS(BT2:BT206,G2:G206,"ADAD",E2:E206,"0456",F2:F206,"00")</f>
        <v>0</v>
      </c>
      <c r="BU229" s="387">
        <f>SUMIFS(BU2:BU206,G2:G206,"ADAD",E2:E206,"0456",F2:F206,"00")</f>
        <v>258.72911999999997</v>
      </c>
      <c r="BV229" s="387">
        <f>SUMIFS(BV2:BV206,G2:G206,"ADAD",E2:E206,"0456",F2:F206,"00")</f>
        <v>1175.2728</v>
      </c>
      <c r="BW229" s="387">
        <f>SUMIFS(BW2:BW206,G2:G206,"ADAD",E2:E206,"0456",F2:F206,"00")</f>
        <v>0</v>
      </c>
      <c r="BX229" s="387">
        <f>SUMIFS(BX2:BX206,G2:G206,"ADAD",E2:E206,"0456",F2:F206,"00")</f>
        <v>18607.358639999999</v>
      </c>
      <c r="BY229" s="387">
        <f>SUMIFS(BY2:BY206,G2:G206,"ADAD",E2:E206,"0456",F2:F206,"00")</f>
        <v>0</v>
      </c>
      <c r="BZ229" s="387">
        <f>SUMIFS(BZ2:BZ206,G2:G206,"ADAD",E2:E206,"0456",F2:F206,"00")</f>
        <v>0</v>
      </c>
      <c r="CA229" s="387">
        <f>SUMIFS(CA2:CA206,G2:G206,"ADAD",E2:E206,"0456",F2:F206,"00")</f>
        <v>0</v>
      </c>
      <c r="CB229" s="387">
        <f>SUMIFS(CB2:CB206,G2:G206,"ADAD",E2:E206,"0456",F2:F206,"00")</f>
        <v>0</v>
      </c>
      <c r="CC229" s="387">
        <f>SUMIFS(CC2:CC206,G2:G206,"ADAD",E2:E206,"0456",F2:F206,"00")</f>
        <v>0</v>
      </c>
      <c r="CD229" s="387">
        <f>SUMIFS(CD2:CD206,G2:G206,"ADAD",E2:E206,"0456",F2:F206,"00")</f>
        <v>0</v>
      </c>
      <c r="CE229" s="387">
        <f>SUMIFS(CE2:CE206,G2:G206,"ADAD",E2:E206,"0456",F2:F206,"00")</f>
        <v>0</v>
      </c>
      <c r="CF229" s="387">
        <f>SUMIFS(CF2:CF206,G2:G206,"ADAD",E2:E206,"0456",F2:F206,"00")</f>
        <v>-414.3048</v>
      </c>
      <c r="CG229" s="387">
        <f>SUMIFS(CG2:CG206,G2:G206,"ADAD",E2:E206,"0456",F2:F206,"00")</f>
        <v>0</v>
      </c>
      <c r="CH229" s="387">
        <f>SUMIFS(CH2:CH206,G2:G206,"ADAD",E2:E206,"0456",F2:F206,"00")</f>
        <v>0</v>
      </c>
      <c r="CI229" s="387">
        <f>SUMIFS(CI2:CI206,G2:G206,"ADAD",E2:E206,"0456",F2:F206,"00")</f>
        <v>0</v>
      </c>
      <c r="CJ229" s="387">
        <f>SUMIFS(CJ2:CJ206,G2:G206,"ADAD",E2:E206,"0456",F2:F206,"00")</f>
        <v>-414.3048</v>
      </c>
      <c r="CK229" s="387">
        <f>SUMIFS(CK2:CK206,G2:G206,"ADAD",E2:E206,"0456",F2:F206,"00")</f>
        <v>0</v>
      </c>
      <c r="CL229" s="387">
        <f>SUMIFS(CL2:CL206,G2:G206,"ADAD",E2:E206,"0456",F2:F206,"00")</f>
        <v>6480</v>
      </c>
      <c r="CM229" s="387">
        <f>SUMIFS(CM2:CM206,G2:G206,"ADAD",E2:E206,"0456",F2:F206,"00")</f>
        <v>920.75</v>
      </c>
    </row>
    <row r="230" spans="43:91" ht="18.75" x14ac:dyDescent="0.3">
      <c r="AQ230" s="393" t="s">
        <v>928</v>
      </c>
      <c r="AS230" s="394">
        <f t="shared" ref="AS230:CM230" si="184">SUM(AS229:AS229)</f>
        <v>2</v>
      </c>
      <c r="AT230" s="394">
        <f t="shared" si="184"/>
        <v>0</v>
      </c>
      <c r="AU230" s="394">
        <f t="shared" si="184"/>
        <v>2</v>
      </c>
      <c r="AV230" s="394">
        <f t="shared" si="184"/>
        <v>0</v>
      </c>
      <c r="AW230" s="394">
        <f t="shared" si="184"/>
        <v>4</v>
      </c>
      <c r="AX230" s="394">
        <f t="shared" si="184"/>
        <v>84552</v>
      </c>
      <c r="AY230" s="394">
        <f t="shared" si="184"/>
        <v>84552</v>
      </c>
      <c r="AZ230" s="394">
        <f t="shared" si="184"/>
        <v>0</v>
      </c>
      <c r="BA230" s="394">
        <f t="shared" si="184"/>
        <v>0</v>
      </c>
      <c r="BB230" s="394">
        <f t="shared" si="184"/>
        <v>23300</v>
      </c>
      <c r="BC230" s="394">
        <f t="shared" si="184"/>
        <v>0</v>
      </c>
      <c r="BD230" s="394">
        <f t="shared" si="184"/>
        <v>5242.2240000000002</v>
      </c>
      <c r="BE230" s="394">
        <f t="shared" si="184"/>
        <v>1226.0039999999999</v>
      </c>
      <c r="BF230" s="394">
        <f t="shared" si="184"/>
        <v>10095.5088</v>
      </c>
      <c r="BG230" s="394">
        <f t="shared" si="184"/>
        <v>609.61992000000009</v>
      </c>
      <c r="BH230" s="394">
        <f t="shared" si="184"/>
        <v>414.3048</v>
      </c>
      <c r="BI230" s="394">
        <f t="shared" si="184"/>
        <v>258.72911999999997</v>
      </c>
      <c r="BJ230" s="394">
        <f t="shared" si="184"/>
        <v>1175.2728</v>
      </c>
      <c r="BK230" s="394">
        <f t="shared" si="184"/>
        <v>0</v>
      </c>
      <c r="BL230" s="394">
        <f t="shared" si="184"/>
        <v>19021.66344</v>
      </c>
      <c r="BM230" s="394">
        <f t="shared" si="184"/>
        <v>0</v>
      </c>
      <c r="BN230" s="394">
        <f t="shared" si="184"/>
        <v>23300</v>
      </c>
      <c r="BO230" s="394">
        <f t="shared" si="184"/>
        <v>0</v>
      </c>
      <c r="BP230" s="394">
        <f t="shared" si="184"/>
        <v>5242.2240000000002</v>
      </c>
      <c r="BQ230" s="394">
        <f t="shared" si="184"/>
        <v>1226.0039999999999</v>
      </c>
      <c r="BR230" s="394">
        <f t="shared" si="184"/>
        <v>10095.5088</v>
      </c>
      <c r="BS230" s="394">
        <f t="shared" si="184"/>
        <v>609.61992000000009</v>
      </c>
      <c r="BT230" s="394">
        <f t="shared" si="184"/>
        <v>0</v>
      </c>
      <c r="BU230" s="394">
        <f t="shared" si="184"/>
        <v>258.72911999999997</v>
      </c>
      <c r="BV230" s="394">
        <f t="shared" si="184"/>
        <v>1175.2728</v>
      </c>
      <c r="BW230" s="394">
        <f t="shared" si="184"/>
        <v>0</v>
      </c>
      <c r="BX230" s="394">
        <f t="shared" si="184"/>
        <v>18607.358639999999</v>
      </c>
      <c r="BY230" s="394">
        <f t="shared" si="184"/>
        <v>0</v>
      </c>
      <c r="BZ230" s="394">
        <f t="shared" si="184"/>
        <v>0</v>
      </c>
      <c r="CA230" s="394">
        <f t="shared" si="184"/>
        <v>0</v>
      </c>
      <c r="CB230" s="394">
        <f t="shared" si="184"/>
        <v>0</v>
      </c>
      <c r="CC230" s="394">
        <f t="shared" si="184"/>
        <v>0</v>
      </c>
      <c r="CD230" s="394">
        <f t="shared" si="184"/>
        <v>0</v>
      </c>
      <c r="CE230" s="394">
        <f t="shared" si="184"/>
        <v>0</v>
      </c>
      <c r="CF230" s="394">
        <f t="shared" si="184"/>
        <v>-414.3048</v>
      </c>
      <c r="CG230" s="394">
        <f t="shared" si="184"/>
        <v>0</v>
      </c>
      <c r="CH230" s="394">
        <f t="shared" si="184"/>
        <v>0</v>
      </c>
      <c r="CI230" s="394">
        <f t="shared" si="184"/>
        <v>0</v>
      </c>
      <c r="CJ230" s="394">
        <f t="shared" si="184"/>
        <v>-414.3048</v>
      </c>
      <c r="CK230" s="394">
        <f t="shared" si="184"/>
        <v>0</v>
      </c>
      <c r="CL230" s="394">
        <f t="shared" si="184"/>
        <v>6480</v>
      </c>
      <c r="CM230" s="394">
        <f t="shared" si="184"/>
        <v>920.75</v>
      </c>
    </row>
    <row r="231" spans="43:91" ht="15.75" thickBot="1" x14ac:dyDescent="0.3">
      <c r="AR231" t="s">
        <v>933</v>
      </c>
      <c r="AS231" s="387">
        <f>SUMIFS(AS2:AS206,G2:G206,"ADAF",E2:E206,"0519",F2:F206,"00",AT2:AT206,1)</f>
        <v>0</v>
      </c>
      <c r="AT231" s="387">
        <f>SUMIFS(AS2:AS206,G2:G206,"ADAF",E2:E206,"0519",F2:F206,"00",AT2:AT206,3)</f>
        <v>0</v>
      </c>
      <c r="AU231" s="387">
        <f>SUMIFS(AU2:AU206,G2:G206,"ADAF",E2:E206,"0519",F2:F206,"00")</f>
        <v>0</v>
      </c>
      <c r="AV231" s="387">
        <f>SUMIFS(AV2:AV206,G2:G206,"ADAF",E2:E206,"0519",F2:F206,"00")</f>
        <v>0</v>
      </c>
      <c r="AW231" s="387">
        <f>SUMIFS(AW2:AW206,G2:G206,"ADAF",E2:E206,"0519",F2:F206,"00")</f>
        <v>0</v>
      </c>
      <c r="AX231" s="387">
        <f>SUMIFS(AX2:AX206,G2:G206,"ADAF",E2:E206,"0519",F2:F206,"00")</f>
        <v>0</v>
      </c>
      <c r="AY231" s="387">
        <f>SUMIFS(AY2:AY206,G2:G206,"ADAF",E2:E206,"0519",F2:F206,"00")</f>
        <v>0</v>
      </c>
      <c r="AZ231" s="387">
        <f>SUMIFS(AZ2:AZ206,G2:G206,"ADAF",E2:E206,"0519",F2:F206,"00")</f>
        <v>0</v>
      </c>
      <c r="BA231" s="387">
        <f>SUMIFS(BA2:BA206,G2:G206,"ADAF",E2:E206,"0519",F2:F206,"00")</f>
        <v>0</v>
      </c>
      <c r="BB231" s="387">
        <f>SUMIFS(BB2:BB206,G2:G206,"ADAF",E2:E206,"0519",F2:F206,"00")</f>
        <v>0</v>
      </c>
      <c r="BC231" s="387">
        <f>SUMIFS(BC2:BC206,G2:G206,"ADAF",E2:E206,"0519",F2:F206,"00")</f>
        <v>0</v>
      </c>
      <c r="BD231" s="387">
        <f>SUMIFS(BD2:BD206,G2:G206,"ADAF",E2:E206,"0519",F2:F206,"00")</f>
        <v>0</v>
      </c>
      <c r="BE231" s="387">
        <f>SUMIFS(BE2:BE206,G2:G206,"ADAF",E2:E206,"0519",F2:F206,"00")</f>
        <v>0</v>
      </c>
      <c r="BF231" s="387">
        <f>SUMIFS(BF2:BF206,G2:G206,"ADAF",E2:E206,"0519",F2:F206,"00")</f>
        <v>0</v>
      </c>
      <c r="BG231" s="387">
        <f>SUMIFS(BG2:BG206,G2:G206,"ADAF",E2:E206,"0519",F2:F206,"00")</f>
        <v>0</v>
      </c>
      <c r="BH231" s="387">
        <f>SUMIFS(BH2:BH206,G2:G206,"ADAF",E2:E206,"0519",F2:F206,"00")</f>
        <v>0</v>
      </c>
      <c r="BI231" s="387">
        <f>SUMIFS(BI2:BI206,G2:G206,"ADAF",E2:E206,"0519",F2:F206,"00")</f>
        <v>0</v>
      </c>
      <c r="BJ231" s="387">
        <f>SUMIFS(BJ2:BJ206,G2:G206,"ADAF",E2:E206,"0519",F2:F206,"00")</f>
        <v>0</v>
      </c>
      <c r="BK231" s="387">
        <f>SUMIFS(BK2:BK206,G2:G206,"ADAF",E2:E206,"0519",F2:F206,"00")</f>
        <v>0</v>
      </c>
      <c r="BL231" s="387">
        <f>SUMIFS(BL2:BL206,G2:G206,"ADAF",E2:E206,"0519",F2:F206,"00")</f>
        <v>0</v>
      </c>
      <c r="BM231" s="387">
        <f>SUMIFS(BM2:BM206,G2:G206,"ADAF",E2:E206,"0519",F2:F206,"00")</f>
        <v>0</v>
      </c>
      <c r="BN231" s="387">
        <f>SUMIFS(BN2:BN206,G2:G206,"ADAF",E2:E206,"0519",F2:F206,"00")</f>
        <v>0</v>
      </c>
      <c r="BO231" s="387">
        <f>SUMIFS(BO2:BO206,G2:G206,"ADAF",E2:E206,"0519",F2:F206,"00")</f>
        <v>0</v>
      </c>
      <c r="BP231" s="387">
        <f>SUMIFS(BP2:BP206,G2:G206,"ADAF",E2:E206,"0519",F2:F206,"00")</f>
        <v>0</v>
      </c>
      <c r="BQ231" s="387">
        <f>SUMIFS(BQ2:BQ206,G2:G206,"ADAF",E2:E206,"0519",F2:F206,"00")</f>
        <v>0</v>
      </c>
      <c r="BR231" s="387">
        <f>SUMIFS(BR2:BR206,G2:G206,"ADAF",E2:E206,"0519",F2:F206,"00")</f>
        <v>0</v>
      </c>
      <c r="BS231" s="387">
        <f>SUMIFS(BS2:BS206,G2:G206,"ADAF",E2:E206,"0519",F2:F206,"00")</f>
        <v>0</v>
      </c>
      <c r="BT231" s="387">
        <f>SUMIFS(BT2:BT206,G2:G206,"ADAF",E2:E206,"0519",F2:F206,"00")</f>
        <v>0</v>
      </c>
      <c r="BU231" s="387">
        <f>SUMIFS(BU2:BU206,G2:G206,"ADAF",E2:E206,"0519",F2:F206,"00")</f>
        <v>0</v>
      </c>
      <c r="BV231" s="387">
        <f>SUMIFS(BV2:BV206,G2:G206,"ADAF",E2:E206,"0519",F2:F206,"00")</f>
        <v>0</v>
      </c>
      <c r="BW231" s="387">
        <f>SUMIFS(BW2:BW206,G2:G206,"ADAF",E2:E206,"0519",F2:F206,"00")</f>
        <v>0</v>
      </c>
      <c r="BX231" s="387">
        <f>SUMIFS(BX2:BX206,G2:G206,"ADAF",E2:E206,"0519",F2:F206,"00")</f>
        <v>0</v>
      </c>
      <c r="BY231" s="387">
        <f>SUMIFS(BY2:BY206,G2:G206,"ADAF",E2:E206,"0519",F2:F206,"00")</f>
        <v>0</v>
      </c>
      <c r="BZ231" s="387">
        <f>SUMIFS(BZ2:BZ206,G2:G206,"ADAF",E2:E206,"0519",F2:F206,"00")</f>
        <v>0</v>
      </c>
      <c r="CA231" s="387">
        <f>SUMIFS(CA2:CA206,G2:G206,"ADAF",E2:E206,"0519",F2:F206,"00")</f>
        <v>0</v>
      </c>
      <c r="CB231" s="387">
        <f>SUMIFS(CB2:CB206,G2:G206,"ADAF",E2:E206,"0519",F2:F206,"00")</f>
        <v>0</v>
      </c>
      <c r="CC231" s="387">
        <f>SUMIFS(CC2:CC206,G2:G206,"ADAF",E2:E206,"0519",F2:F206,"00")</f>
        <v>0</v>
      </c>
      <c r="CD231" s="387">
        <f>SUMIFS(CD2:CD206,G2:G206,"ADAF",E2:E206,"0519",F2:F206,"00")</f>
        <v>0</v>
      </c>
      <c r="CE231" s="387">
        <f>SUMIFS(CE2:CE206,G2:G206,"ADAF",E2:E206,"0519",F2:F206,"00")</f>
        <v>0</v>
      </c>
      <c r="CF231" s="387">
        <f>SUMIFS(CF2:CF206,G2:G206,"ADAF",E2:E206,"0519",F2:F206,"00")</f>
        <v>0</v>
      </c>
      <c r="CG231" s="387">
        <f>SUMIFS(CG2:CG206,G2:G206,"ADAF",E2:E206,"0519",F2:F206,"00")</f>
        <v>0</v>
      </c>
      <c r="CH231" s="387">
        <f>SUMIFS(CH2:CH206,G2:G206,"ADAF",E2:E206,"0519",F2:F206,"00")</f>
        <v>0</v>
      </c>
      <c r="CI231" s="387">
        <f>SUMIFS(CI2:CI206,G2:G206,"ADAF",E2:E206,"0519",F2:F206,"00")</f>
        <v>0</v>
      </c>
      <c r="CJ231" s="387">
        <f>SUMIFS(CJ2:CJ206,G2:G206,"ADAF",E2:E206,"0519",F2:F206,"00")</f>
        <v>0</v>
      </c>
      <c r="CK231" s="387">
        <f>SUMIFS(CK2:CK206,G2:G206,"ADAF",E2:E206,"0519",F2:F206,"00")</f>
        <v>0</v>
      </c>
      <c r="CL231" s="387">
        <f>SUMIFS(CL2:CL206,G2:G206,"ADAF",E2:E206,"0519",F2:F206,"00")</f>
        <v>0</v>
      </c>
      <c r="CM231" s="387">
        <f>SUMIFS(CM2:CM206,G2:G206,"ADAF",E2:E206,"0519",F2:F206,"00")</f>
        <v>0</v>
      </c>
    </row>
    <row r="232" spans="43:91" ht="18.75" x14ac:dyDescent="0.3">
      <c r="AQ232" s="393" t="s">
        <v>934</v>
      </c>
      <c r="AS232" s="394">
        <f t="shared" ref="AS232:CM232" si="185">SUM(AS231:AS231)</f>
        <v>0</v>
      </c>
      <c r="AT232" s="394">
        <f t="shared" si="185"/>
        <v>0</v>
      </c>
      <c r="AU232" s="394">
        <f t="shared" si="185"/>
        <v>0</v>
      </c>
      <c r="AV232" s="394">
        <f t="shared" si="185"/>
        <v>0</v>
      </c>
      <c r="AW232" s="394">
        <f t="shared" si="185"/>
        <v>0</v>
      </c>
      <c r="AX232" s="394">
        <f t="shared" si="185"/>
        <v>0</v>
      </c>
      <c r="AY232" s="394">
        <f t="shared" si="185"/>
        <v>0</v>
      </c>
      <c r="AZ232" s="394">
        <f t="shared" si="185"/>
        <v>0</v>
      </c>
      <c r="BA232" s="394">
        <f t="shared" si="185"/>
        <v>0</v>
      </c>
      <c r="BB232" s="394">
        <f t="shared" si="185"/>
        <v>0</v>
      </c>
      <c r="BC232" s="394">
        <f t="shared" si="185"/>
        <v>0</v>
      </c>
      <c r="BD232" s="394">
        <f t="shared" si="185"/>
        <v>0</v>
      </c>
      <c r="BE232" s="394">
        <f t="shared" si="185"/>
        <v>0</v>
      </c>
      <c r="BF232" s="394">
        <f t="shared" si="185"/>
        <v>0</v>
      </c>
      <c r="BG232" s="394">
        <f t="shared" si="185"/>
        <v>0</v>
      </c>
      <c r="BH232" s="394">
        <f t="shared" si="185"/>
        <v>0</v>
      </c>
      <c r="BI232" s="394">
        <f t="shared" si="185"/>
        <v>0</v>
      </c>
      <c r="BJ232" s="394">
        <f t="shared" si="185"/>
        <v>0</v>
      </c>
      <c r="BK232" s="394">
        <f t="shared" si="185"/>
        <v>0</v>
      </c>
      <c r="BL232" s="394">
        <f t="shared" si="185"/>
        <v>0</v>
      </c>
      <c r="BM232" s="394">
        <f t="shared" si="185"/>
        <v>0</v>
      </c>
      <c r="BN232" s="394">
        <f t="shared" si="185"/>
        <v>0</v>
      </c>
      <c r="BO232" s="394">
        <f t="shared" si="185"/>
        <v>0</v>
      </c>
      <c r="BP232" s="394">
        <f t="shared" si="185"/>
        <v>0</v>
      </c>
      <c r="BQ232" s="394">
        <f t="shared" si="185"/>
        <v>0</v>
      </c>
      <c r="BR232" s="394">
        <f t="shared" si="185"/>
        <v>0</v>
      </c>
      <c r="BS232" s="394">
        <f t="shared" si="185"/>
        <v>0</v>
      </c>
      <c r="BT232" s="394">
        <f t="shared" si="185"/>
        <v>0</v>
      </c>
      <c r="BU232" s="394">
        <f t="shared" si="185"/>
        <v>0</v>
      </c>
      <c r="BV232" s="394">
        <f t="shared" si="185"/>
        <v>0</v>
      </c>
      <c r="BW232" s="394">
        <f t="shared" si="185"/>
        <v>0</v>
      </c>
      <c r="BX232" s="394">
        <f t="shared" si="185"/>
        <v>0</v>
      </c>
      <c r="BY232" s="394">
        <f t="shared" si="185"/>
        <v>0</v>
      </c>
      <c r="BZ232" s="394">
        <f t="shared" si="185"/>
        <v>0</v>
      </c>
      <c r="CA232" s="394">
        <f t="shared" si="185"/>
        <v>0</v>
      </c>
      <c r="CB232" s="394">
        <f t="shared" si="185"/>
        <v>0</v>
      </c>
      <c r="CC232" s="394">
        <f t="shared" si="185"/>
        <v>0</v>
      </c>
      <c r="CD232" s="394">
        <f t="shared" si="185"/>
        <v>0</v>
      </c>
      <c r="CE232" s="394">
        <f t="shared" si="185"/>
        <v>0</v>
      </c>
      <c r="CF232" s="394">
        <f t="shared" si="185"/>
        <v>0</v>
      </c>
      <c r="CG232" s="394">
        <f t="shared" si="185"/>
        <v>0</v>
      </c>
      <c r="CH232" s="394">
        <f t="shared" si="185"/>
        <v>0</v>
      </c>
      <c r="CI232" s="394">
        <f t="shared" si="185"/>
        <v>0</v>
      </c>
      <c r="CJ232" s="394">
        <f t="shared" si="185"/>
        <v>0</v>
      </c>
      <c r="CK232" s="394">
        <f t="shared" si="185"/>
        <v>0</v>
      </c>
      <c r="CL232" s="394">
        <f t="shared" si="185"/>
        <v>0</v>
      </c>
      <c r="CM232" s="394">
        <f t="shared" si="185"/>
        <v>0</v>
      </c>
    </row>
    <row r="233" spans="43:91" ht="15.75" thickBot="1" x14ac:dyDescent="0.3">
      <c r="AR233" t="s">
        <v>935</v>
      </c>
      <c r="AS233" s="387">
        <f>SUMIFS(AS2:AS206,G2:G206,"ADAH",E2:E206,"0450",F2:F206,"00",AT2:AT206,1)</f>
        <v>0</v>
      </c>
      <c r="AT233" s="387">
        <f>SUMIFS(AS2:AS206,G2:G206,"ADAH",E2:E206,"0450",F2:F206,"00",AT2:AT206,3)</f>
        <v>0</v>
      </c>
      <c r="AU233" s="387">
        <f>SUMIFS(AU2:AU206,G2:G206,"ADAH",E2:E206,"0450",F2:F206,"00")</f>
        <v>0</v>
      </c>
      <c r="AV233" s="387">
        <f>SUMIFS(AV2:AV206,G2:G206,"ADAH",E2:E206,"0450",F2:F206,"00")</f>
        <v>0</v>
      </c>
      <c r="AW233" s="387">
        <f>SUMIFS(AW2:AW206,G2:G206,"ADAH",E2:E206,"0450",F2:F206,"00")</f>
        <v>0</v>
      </c>
      <c r="AX233" s="387">
        <f>SUMIFS(AX2:AX206,G2:G206,"ADAH",E2:E206,"0450",F2:F206,"00")</f>
        <v>0</v>
      </c>
      <c r="AY233" s="387">
        <f>SUMIFS(AY2:AY206,G2:G206,"ADAH",E2:E206,"0450",F2:F206,"00")</f>
        <v>0</v>
      </c>
      <c r="AZ233" s="387">
        <f>SUMIFS(AZ2:AZ206,G2:G206,"ADAH",E2:E206,"0450",F2:F206,"00")</f>
        <v>0</v>
      </c>
      <c r="BA233" s="387">
        <f>SUMIFS(BA2:BA206,G2:G206,"ADAH",E2:E206,"0450",F2:F206,"00")</f>
        <v>0</v>
      </c>
      <c r="BB233" s="387">
        <f>SUMIFS(BB2:BB206,G2:G206,"ADAH",E2:E206,"0450",F2:F206,"00")</f>
        <v>0</v>
      </c>
      <c r="BC233" s="387">
        <f>SUMIFS(BC2:BC206,G2:G206,"ADAH",E2:E206,"0450",F2:F206,"00")</f>
        <v>0</v>
      </c>
      <c r="BD233" s="387">
        <f>SUMIFS(BD2:BD206,G2:G206,"ADAH",E2:E206,"0450",F2:F206,"00")</f>
        <v>0</v>
      </c>
      <c r="BE233" s="387">
        <f>SUMIFS(BE2:BE206,G2:G206,"ADAH",E2:E206,"0450",F2:F206,"00")</f>
        <v>0</v>
      </c>
      <c r="BF233" s="387">
        <f>SUMIFS(BF2:BF206,G2:G206,"ADAH",E2:E206,"0450",F2:F206,"00")</f>
        <v>0</v>
      </c>
      <c r="BG233" s="387">
        <f>SUMIFS(BG2:BG206,G2:G206,"ADAH",E2:E206,"0450",F2:F206,"00")</f>
        <v>0</v>
      </c>
      <c r="BH233" s="387">
        <f>SUMIFS(BH2:BH206,G2:G206,"ADAH",E2:E206,"0450",F2:F206,"00")</f>
        <v>0</v>
      </c>
      <c r="BI233" s="387">
        <f>SUMIFS(BI2:BI206,G2:G206,"ADAH",E2:E206,"0450",F2:F206,"00")</f>
        <v>0</v>
      </c>
      <c r="BJ233" s="387">
        <f>SUMIFS(BJ2:BJ206,G2:G206,"ADAH",E2:E206,"0450",F2:F206,"00")</f>
        <v>0</v>
      </c>
      <c r="BK233" s="387">
        <f>SUMIFS(BK2:BK206,G2:G206,"ADAH",E2:E206,"0450",F2:F206,"00")</f>
        <v>0</v>
      </c>
      <c r="BL233" s="387">
        <f>SUMIFS(BL2:BL206,G2:G206,"ADAH",E2:E206,"0450",F2:F206,"00")</f>
        <v>0</v>
      </c>
      <c r="BM233" s="387">
        <f>SUMIFS(BM2:BM206,G2:G206,"ADAH",E2:E206,"0450",F2:F206,"00")</f>
        <v>0</v>
      </c>
      <c r="BN233" s="387">
        <f>SUMIFS(BN2:BN206,G2:G206,"ADAH",E2:E206,"0450",F2:F206,"00")</f>
        <v>0</v>
      </c>
      <c r="BO233" s="387">
        <f>SUMIFS(BO2:BO206,G2:G206,"ADAH",E2:E206,"0450",F2:F206,"00")</f>
        <v>0</v>
      </c>
      <c r="BP233" s="387">
        <f>SUMIFS(BP2:BP206,G2:G206,"ADAH",E2:E206,"0450",F2:F206,"00")</f>
        <v>0</v>
      </c>
      <c r="BQ233" s="387">
        <f>SUMIFS(BQ2:BQ206,G2:G206,"ADAH",E2:E206,"0450",F2:F206,"00")</f>
        <v>0</v>
      </c>
      <c r="BR233" s="387">
        <f>SUMIFS(BR2:BR206,G2:G206,"ADAH",E2:E206,"0450",F2:F206,"00")</f>
        <v>0</v>
      </c>
      <c r="BS233" s="387">
        <f>SUMIFS(BS2:BS206,G2:G206,"ADAH",E2:E206,"0450",F2:F206,"00")</f>
        <v>0</v>
      </c>
      <c r="BT233" s="387">
        <f>SUMIFS(BT2:BT206,G2:G206,"ADAH",E2:E206,"0450",F2:F206,"00")</f>
        <v>0</v>
      </c>
      <c r="BU233" s="387">
        <f>SUMIFS(BU2:BU206,G2:G206,"ADAH",E2:E206,"0450",F2:F206,"00")</f>
        <v>0</v>
      </c>
      <c r="BV233" s="387">
        <f>SUMIFS(BV2:BV206,G2:G206,"ADAH",E2:E206,"0450",F2:F206,"00")</f>
        <v>0</v>
      </c>
      <c r="BW233" s="387">
        <f>SUMIFS(BW2:BW206,G2:G206,"ADAH",E2:E206,"0450",F2:F206,"00")</f>
        <v>0</v>
      </c>
      <c r="BX233" s="387">
        <f>SUMIFS(BX2:BX206,G2:G206,"ADAH",E2:E206,"0450",F2:F206,"00")</f>
        <v>0</v>
      </c>
      <c r="BY233" s="387">
        <f>SUMIFS(BY2:BY206,G2:G206,"ADAH",E2:E206,"0450",F2:F206,"00")</f>
        <v>0</v>
      </c>
      <c r="BZ233" s="387">
        <f>SUMIFS(BZ2:BZ206,G2:G206,"ADAH",E2:E206,"0450",F2:F206,"00")</f>
        <v>0</v>
      </c>
      <c r="CA233" s="387">
        <f>SUMIFS(CA2:CA206,G2:G206,"ADAH",E2:E206,"0450",F2:F206,"00")</f>
        <v>0</v>
      </c>
      <c r="CB233" s="387">
        <f>SUMIFS(CB2:CB206,G2:G206,"ADAH",E2:E206,"0450",F2:F206,"00")</f>
        <v>0</v>
      </c>
      <c r="CC233" s="387">
        <f>SUMIFS(CC2:CC206,G2:G206,"ADAH",E2:E206,"0450",F2:F206,"00")</f>
        <v>0</v>
      </c>
      <c r="CD233" s="387">
        <f>SUMIFS(CD2:CD206,G2:G206,"ADAH",E2:E206,"0450",F2:F206,"00")</f>
        <v>0</v>
      </c>
      <c r="CE233" s="387">
        <f>SUMIFS(CE2:CE206,G2:G206,"ADAH",E2:E206,"0450",F2:F206,"00")</f>
        <v>0</v>
      </c>
      <c r="CF233" s="387">
        <f>SUMIFS(CF2:CF206,G2:G206,"ADAH",E2:E206,"0450",F2:F206,"00")</f>
        <v>0</v>
      </c>
      <c r="CG233" s="387">
        <f>SUMIFS(CG2:CG206,G2:G206,"ADAH",E2:E206,"0450",F2:F206,"00")</f>
        <v>0</v>
      </c>
      <c r="CH233" s="387">
        <f>SUMIFS(CH2:CH206,G2:G206,"ADAH",E2:E206,"0450",F2:F206,"00")</f>
        <v>0</v>
      </c>
      <c r="CI233" s="387">
        <f>SUMIFS(CI2:CI206,G2:G206,"ADAH",E2:E206,"0450",F2:F206,"00")</f>
        <v>0</v>
      </c>
      <c r="CJ233" s="387">
        <f>SUMIFS(CJ2:CJ206,G2:G206,"ADAH",E2:E206,"0450",F2:F206,"00")</f>
        <v>0</v>
      </c>
      <c r="CK233" s="387">
        <f>SUMIFS(CK2:CK206,G2:G206,"ADAH",E2:E206,"0450",F2:F206,"00")</f>
        <v>0</v>
      </c>
      <c r="CL233" s="387">
        <f>SUMIFS(CL2:CL206,G2:G206,"ADAH",E2:E206,"0450",F2:F206,"00")</f>
        <v>0</v>
      </c>
      <c r="CM233" s="387">
        <f>SUMIFS(CM2:CM206,G2:G206,"ADAH",E2:E206,"0450",F2:F206,"00")</f>
        <v>0</v>
      </c>
    </row>
    <row r="234" spans="43:91" ht="18.75" x14ac:dyDescent="0.3">
      <c r="AQ234" s="393" t="s">
        <v>936</v>
      </c>
      <c r="AS234" s="394">
        <f t="shared" ref="AS234:CM234" si="186">SUM(AS233:AS233)</f>
        <v>0</v>
      </c>
      <c r="AT234" s="394">
        <f t="shared" si="186"/>
        <v>0</v>
      </c>
      <c r="AU234" s="394">
        <f t="shared" si="186"/>
        <v>0</v>
      </c>
      <c r="AV234" s="394">
        <f t="shared" si="186"/>
        <v>0</v>
      </c>
      <c r="AW234" s="394">
        <f t="shared" si="186"/>
        <v>0</v>
      </c>
      <c r="AX234" s="394">
        <f t="shared" si="186"/>
        <v>0</v>
      </c>
      <c r="AY234" s="394">
        <f t="shared" si="186"/>
        <v>0</v>
      </c>
      <c r="AZ234" s="394">
        <f t="shared" si="186"/>
        <v>0</v>
      </c>
      <c r="BA234" s="394">
        <f t="shared" si="186"/>
        <v>0</v>
      </c>
      <c r="BB234" s="394">
        <f t="shared" si="186"/>
        <v>0</v>
      </c>
      <c r="BC234" s="394">
        <f t="shared" si="186"/>
        <v>0</v>
      </c>
      <c r="BD234" s="394">
        <f t="shared" si="186"/>
        <v>0</v>
      </c>
      <c r="BE234" s="394">
        <f t="shared" si="186"/>
        <v>0</v>
      </c>
      <c r="BF234" s="394">
        <f t="shared" si="186"/>
        <v>0</v>
      </c>
      <c r="BG234" s="394">
        <f t="shared" si="186"/>
        <v>0</v>
      </c>
      <c r="BH234" s="394">
        <f t="shared" si="186"/>
        <v>0</v>
      </c>
      <c r="BI234" s="394">
        <f t="shared" si="186"/>
        <v>0</v>
      </c>
      <c r="BJ234" s="394">
        <f t="shared" si="186"/>
        <v>0</v>
      </c>
      <c r="BK234" s="394">
        <f t="shared" si="186"/>
        <v>0</v>
      </c>
      <c r="BL234" s="394">
        <f t="shared" si="186"/>
        <v>0</v>
      </c>
      <c r="BM234" s="394">
        <f t="shared" si="186"/>
        <v>0</v>
      </c>
      <c r="BN234" s="394">
        <f t="shared" si="186"/>
        <v>0</v>
      </c>
      <c r="BO234" s="394">
        <f t="shared" si="186"/>
        <v>0</v>
      </c>
      <c r="BP234" s="394">
        <f t="shared" si="186"/>
        <v>0</v>
      </c>
      <c r="BQ234" s="394">
        <f t="shared" si="186"/>
        <v>0</v>
      </c>
      <c r="BR234" s="394">
        <f t="shared" si="186"/>
        <v>0</v>
      </c>
      <c r="BS234" s="394">
        <f t="shared" si="186"/>
        <v>0</v>
      </c>
      <c r="BT234" s="394">
        <f t="shared" si="186"/>
        <v>0</v>
      </c>
      <c r="BU234" s="394">
        <f t="shared" si="186"/>
        <v>0</v>
      </c>
      <c r="BV234" s="394">
        <f t="shared" si="186"/>
        <v>0</v>
      </c>
      <c r="BW234" s="394">
        <f t="shared" si="186"/>
        <v>0</v>
      </c>
      <c r="BX234" s="394">
        <f t="shared" si="186"/>
        <v>0</v>
      </c>
      <c r="BY234" s="394">
        <f t="shared" si="186"/>
        <v>0</v>
      </c>
      <c r="BZ234" s="394">
        <f t="shared" si="186"/>
        <v>0</v>
      </c>
      <c r="CA234" s="394">
        <f t="shared" si="186"/>
        <v>0</v>
      </c>
      <c r="CB234" s="394">
        <f t="shared" si="186"/>
        <v>0</v>
      </c>
      <c r="CC234" s="394">
        <f t="shared" si="186"/>
        <v>0</v>
      </c>
      <c r="CD234" s="394">
        <f t="shared" si="186"/>
        <v>0</v>
      </c>
      <c r="CE234" s="394">
        <f t="shared" si="186"/>
        <v>0</v>
      </c>
      <c r="CF234" s="394">
        <f t="shared" si="186"/>
        <v>0</v>
      </c>
      <c r="CG234" s="394">
        <f t="shared" si="186"/>
        <v>0</v>
      </c>
      <c r="CH234" s="394">
        <f t="shared" si="186"/>
        <v>0</v>
      </c>
      <c r="CI234" s="394">
        <f t="shared" si="186"/>
        <v>0</v>
      </c>
      <c r="CJ234" s="394">
        <f t="shared" si="186"/>
        <v>0</v>
      </c>
      <c r="CK234" s="394">
        <f t="shared" si="186"/>
        <v>0</v>
      </c>
      <c r="CL234" s="394">
        <f t="shared" si="186"/>
        <v>0</v>
      </c>
      <c r="CM234" s="394">
        <f t="shared" si="186"/>
        <v>0</v>
      </c>
    </row>
    <row r="235" spans="43:91" ht="15.75" thickBot="1" x14ac:dyDescent="0.3">
      <c r="AR235" t="s">
        <v>937</v>
      </c>
      <c r="AS235" s="387">
        <f>SUMIFS(AS2:AS206,G2:G206,"ADAI",E2:E206,"0461",F2:F206,"00",AT2:AT206,1)</f>
        <v>0</v>
      </c>
      <c r="AT235" s="387">
        <f>SUMIFS(AS2:AS206,G2:G206,"ADAI",E2:E206,"0461",F2:F206,"00",AT2:AT206,3)</f>
        <v>0</v>
      </c>
      <c r="AU235" s="387">
        <f>SUMIFS(AU2:AU206,G2:G206,"ADAI",E2:E206,"0461",F2:F206,"00")</f>
        <v>0</v>
      </c>
      <c r="AV235" s="387">
        <f>SUMIFS(AV2:AV206,G2:G206,"ADAI",E2:E206,"0461",F2:F206,"00")</f>
        <v>0</v>
      </c>
      <c r="AW235" s="387">
        <f>SUMIFS(AW2:AW206,G2:G206,"ADAI",E2:E206,"0461",F2:F206,"00")</f>
        <v>0</v>
      </c>
      <c r="AX235" s="387">
        <f>SUMIFS(AX2:AX206,G2:G206,"ADAI",E2:E206,"0461",F2:F206,"00")</f>
        <v>0</v>
      </c>
      <c r="AY235" s="387">
        <f>SUMIFS(AY2:AY206,G2:G206,"ADAI",E2:E206,"0461",F2:F206,"00")</f>
        <v>0</v>
      </c>
      <c r="AZ235" s="387">
        <f>SUMIFS(AZ2:AZ206,G2:G206,"ADAI",E2:E206,"0461",F2:F206,"00")</f>
        <v>0</v>
      </c>
      <c r="BA235" s="387">
        <f>SUMIFS(BA2:BA206,G2:G206,"ADAI",E2:E206,"0461",F2:F206,"00")</f>
        <v>0</v>
      </c>
      <c r="BB235" s="387">
        <f>SUMIFS(BB2:BB206,G2:G206,"ADAI",E2:E206,"0461",F2:F206,"00")</f>
        <v>0</v>
      </c>
      <c r="BC235" s="387">
        <f>SUMIFS(BC2:BC206,G2:G206,"ADAI",E2:E206,"0461",F2:F206,"00")</f>
        <v>0</v>
      </c>
      <c r="BD235" s="387">
        <f>SUMIFS(BD2:BD206,G2:G206,"ADAI",E2:E206,"0461",F2:F206,"00")</f>
        <v>0</v>
      </c>
      <c r="BE235" s="387">
        <f>SUMIFS(BE2:BE206,G2:G206,"ADAI",E2:E206,"0461",F2:F206,"00")</f>
        <v>0</v>
      </c>
      <c r="BF235" s="387">
        <f>SUMIFS(BF2:BF206,G2:G206,"ADAI",E2:E206,"0461",F2:F206,"00")</f>
        <v>0</v>
      </c>
      <c r="BG235" s="387">
        <f>SUMIFS(BG2:BG206,G2:G206,"ADAI",E2:E206,"0461",F2:F206,"00")</f>
        <v>0</v>
      </c>
      <c r="BH235" s="387">
        <f>SUMIFS(BH2:BH206,G2:G206,"ADAI",E2:E206,"0461",F2:F206,"00")</f>
        <v>0</v>
      </c>
      <c r="BI235" s="387">
        <f>SUMIFS(BI2:BI206,G2:G206,"ADAI",E2:E206,"0461",F2:F206,"00")</f>
        <v>0</v>
      </c>
      <c r="BJ235" s="387">
        <f>SUMIFS(BJ2:BJ206,G2:G206,"ADAI",E2:E206,"0461",F2:F206,"00")</f>
        <v>0</v>
      </c>
      <c r="BK235" s="387">
        <f>SUMIFS(BK2:BK206,G2:G206,"ADAI",E2:E206,"0461",F2:F206,"00")</f>
        <v>0</v>
      </c>
      <c r="BL235" s="387">
        <f>SUMIFS(BL2:BL206,G2:G206,"ADAI",E2:E206,"0461",F2:F206,"00")</f>
        <v>0</v>
      </c>
      <c r="BM235" s="387">
        <f>SUMIFS(BM2:BM206,G2:G206,"ADAI",E2:E206,"0461",F2:F206,"00")</f>
        <v>0</v>
      </c>
      <c r="BN235" s="387">
        <f>SUMIFS(BN2:BN206,G2:G206,"ADAI",E2:E206,"0461",F2:F206,"00")</f>
        <v>0</v>
      </c>
      <c r="BO235" s="387">
        <f>SUMIFS(BO2:BO206,G2:G206,"ADAI",E2:E206,"0461",F2:F206,"00")</f>
        <v>0</v>
      </c>
      <c r="BP235" s="387">
        <f>SUMIFS(BP2:BP206,G2:G206,"ADAI",E2:E206,"0461",F2:F206,"00")</f>
        <v>0</v>
      </c>
      <c r="BQ235" s="387">
        <f>SUMIFS(BQ2:BQ206,G2:G206,"ADAI",E2:E206,"0461",F2:F206,"00")</f>
        <v>0</v>
      </c>
      <c r="BR235" s="387">
        <f>SUMIFS(BR2:BR206,G2:G206,"ADAI",E2:E206,"0461",F2:F206,"00")</f>
        <v>0</v>
      </c>
      <c r="BS235" s="387">
        <f>SUMIFS(BS2:BS206,G2:G206,"ADAI",E2:E206,"0461",F2:F206,"00")</f>
        <v>0</v>
      </c>
      <c r="BT235" s="387">
        <f>SUMIFS(BT2:BT206,G2:G206,"ADAI",E2:E206,"0461",F2:F206,"00")</f>
        <v>0</v>
      </c>
      <c r="BU235" s="387">
        <f>SUMIFS(BU2:BU206,G2:G206,"ADAI",E2:E206,"0461",F2:F206,"00")</f>
        <v>0</v>
      </c>
      <c r="BV235" s="387">
        <f>SUMIFS(BV2:BV206,G2:G206,"ADAI",E2:E206,"0461",F2:F206,"00")</f>
        <v>0</v>
      </c>
      <c r="BW235" s="387">
        <f>SUMIFS(BW2:BW206,G2:G206,"ADAI",E2:E206,"0461",F2:F206,"00")</f>
        <v>0</v>
      </c>
      <c r="BX235" s="387">
        <f>SUMIFS(BX2:BX206,G2:G206,"ADAI",E2:E206,"0461",F2:F206,"00")</f>
        <v>0</v>
      </c>
      <c r="BY235" s="387">
        <f>SUMIFS(BY2:BY206,G2:G206,"ADAI",E2:E206,"0461",F2:F206,"00")</f>
        <v>0</v>
      </c>
      <c r="BZ235" s="387">
        <f>SUMIFS(BZ2:BZ206,G2:G206,"ADAI",E2:E206,"0461",F2:F206,"00")</f>
        <v>0</v>
      </c>
      <c r="CA235" s="387">
        <f>SUMIFS(CA2:CA206,G2:G206,"ADAI",E2:E206,"0461",F2:F206,"00")</f>
        <v>0</v>
      </c>
      <c r="CB235" s="387">
        <f>SUMIFS(CB2:CB206,G2:G206,"ADAI",E2:E206,"0461",F2:F206,"00")</f>
        <v>0</v>
      </c>
      <c r="CC235" s="387">
        <f>SUMIFS(CC2:CC206,G2:G206,"ADAI",E2:E206,"0461",F2:F206,"00")</f>
        <v>0</v>
      </c>
      <c r="CD235" s="387">
        <f>SUMIFS(CD2:CD206,G2:G206,"ADAI",E2:E206,"0461",F2:F206,"00")</f>
        <v>0</v>
      </c>
      <c r="CE235" s="387">
        <f>SUMIFS(CE2:CE206,G2:G206,"ADAI",E2:E206,"0461",F2:F206,"00")</f>
        <v>0</v>
      </c>
      <c r="CF235" s="387">
        <f>SUMIFS(CF2:CF206,G2:G206,"ADAI",E2:E206,"0461",F2:F206,"00")</f>
        <v>0</v>
      </c>
      <c r="CG235" s="387">
        <f>SUMIFS(CG2:CG206,G2:G206,"ADAI",E2:E206,"0461",F2:F206,"00")</f>
        <v>0</v>
      </c>
      <c r="CH235" s="387">
        <f>SUMIFS(CH2:CH206,G2:G206,"ADAI",E2:E206,"0461",F2:F206,"00")</f>
        <v>0</v>
      </c>
      <c r="CI235" s="387">
        <f>SUMIFS(CI2:CI206,G2:G206,"ADAI",E2:E206,"0461",F2:F206,"00")</f>
        <v>0</v>
      </c>
      <c r="CJ235" s="387">
        <f>SUMIFS(CJ2:CJ206,G2:G206,"ADAI",E2:E206,"0461",F2:F206,"00")</f>
        <v>0</v>
      </c>
      <c r="CK235" s="387">
        <f>SUMIFS(CK2:CK206,G2:G206,"ADAI",E2:E206,"0461",F2:F206,"00")</f>
        <v>0</v>
      </c>
      <c r="CL235" s="387">
        <f>SUMIFS(CL2:CL206,G2:G206,"ADAI",E2:E206,"0461",F2:F206,"00")</f>
        <v>0</v>
      </c>
      <c r="CM235" s="387">
        <f>SUMIFS(CM2:CM206,G2:G206,"ADAI",E2:E206,"0461",F2:F206,"00")</f>
        <v>0</v>
      </c>
    </row>
    <row r="236" spans="43:91" ht="18.75" x14ac:dyDescent="0.3">
      <c r="AQ236" s="393" t="s">
        <v>938</v>
      </c>
      <c r="AS236" s="394">
        <f t="shared" ref="AS236:CM236" si="187">SUM(AS235:AS235)</f>
        <v>0</v>
      </c>
      <c r="AT236" s="394">
        <f t="shared" si="187"/>
        <v>0</v>
      </c>
      <c r="AU236" s="394">
        <f t="shared" si="187"/>
        <v>0</v>
      </c>
      <c r="AV236" s="394">
        <f t="shared" si="187"/>
        <v>0</v>
      </c>
      <c r="AW236" s="394">
        <f t="shared" si="187"/>
        <v>0</v>
      </c>
      <c r="AX236" s="394">
        <f t="shared" si="187"/>
        <v>0</v>
      </c>
      <c r="AY236" s="394">
        <f t="shared" si="187"/>
        <v>0</v>
      </c>
      <c r="AZ236" s="394">
        <f t="shared" si="187"/>
        <v>0</v>
      </c>
      <c r="BA236" s="394">
        <f t="shared" si="187"/>
        <v>0</v>
      </c>
      <c r="BB236" s="394">
        <f t="shared" si="187"/>
        <v>0</v>
      </c>
      <c r="BC236" s="394">
        <f t="shared" si="187"/>
        <v>0</v>
      </c>
      <c r="BD236" s="394">
        <f t="shared" si="187"/>
        <v>0</v>
      </c>
      <c r="BE236" s="394">
        <f t="shared" si="187"/>
        <v>0</v>
      </c>
      <c r="BF236" s="394">
        <f t="shared" si="187"/>
        <v>0</v>
      </c>
      <c r="BG236" s="394">
        <f t="shared" si="187"/>
        <v>0</v>
      </c>
      <c r="BH236" s="394">
        <f t="shared" si="187"/>
        <v>0</v>
      </c>
      <c r="BI236" s="394">
        <f t="shared" si="187"/>
        <v>0</v>
      </c>
      <c r="BJ236" s="394">
        <f t="shared" si="187"/>
        <v>0</v>
      </c>
      <c r="BK236" s="394">
        <f t="shared" si="187"/>
        <v>0</v>
      </c>
      <c r="BL236" s="394">
        <f t="shared" si="187"/>
        <v>0</v>
      </c>
      <c r="BM236" s="394">
        <f t="shared" si="187"/>
        <v>0</v>
      </c>
      <c r="BN236" s="394">
        <f t="shared" si="187"/>
        <v>0</v>
      </c>
      <c r="BO236" s="394">
        <f t="shared" si="187"/>
        <v>0</v>
      </c>
      <c r="BP236" s="394">
        <f t="shared" si="187"/>
        <v>0</v>
      </c>
      <c r="BQ236" s="394">
        <f t="shared" si="187"/>
        <v>0</v>
      </c>
      <c r="BR236" s="394">
        <f t="shared" si="187"/>
        <v>0</v>
      </c>
      <c r="BS236" s="394">
        <f t="shared" si="187"/>
        <v>0</v>
      </c>
      <c r="BT236" s="394">
        <f t="shared" si="187"/>
        <v>0</v>
      </c>
      <c r="BU236" s="394">
        <f t="shared" si="187"/>
        <v>0</v>
      </c>
      <c r="BV236" s="394">
        <f t="shared" si="187"/>
        <v>0</v>
      </c>
      <c r="BW236" s="394">
        <f t="shared" si="187"/>
        <v>0</v>
      </c>
      <c r="BX236" s="394">
        <f t="shared" si="187"/>
        <v>0</v>
      </c>
      <c r="BY236" s="394">
        <f t="shared" si="187"/>
        <v>0</v>
      </c>
      <c r="BZ236" s="394">
        <f t="shared" si="187"/>
        <v>0</v>
      </c>
      <c r="CA236" s="394">
        <f t="shared" si="187"/>
        <v>0</v>
      </c>
      <c r="CB236" s="394">
        <f t="shared" si="187"/>
        <v>0</v>
      </c>
      <c r="CC236" s="394">
        <f t="shared" si="187"/>
        <v>0</v>
      </c>
      <c r="CD236" s="394">
        <f t="shared" si="187"/>
        <v>0</v>
      </c>
      <c r="CE236" s="394">
        <f t="shared" si="187"/>
        <v>0</v>
      </c>
      <c r="CF236" s="394">
        <f t="shared" si="187"/>
        <v>0</v>
      </c>
      <c r="CG236" s="394">
        <f t="shared" si="187"/>
        <v>0</v>
      </c>
      <c r="CH236" s="394">
        <f t="shared" si="187"/>
        <v>0</v>
      </c>
      <c r="CI236" s="394">
        <f t="shared" si="187"/>
        <v>0</v>
      </c>
      <c r="CJ236" s="394">
        <f t="shared" si="187"/>
        <v>0</v>
      </c>
      <c r="CK236" s="394">
        <f t="shared" si="187"/>
        <v>0</v>
      </c>
      <c r="CL236" s="394">
        <f t="shared" si="187"/>
        <v>0</v>
      </c>
      <c r="CM236" s="394">
        <f t="shared" si="187"/>
        <v>0</v>
      </c>
    </row>
    <row r="237" spans="43:91" ht="15.75" thickBot="1" x14ac:dyDescent="0.3">
      <c r="AR237" t="s">
        <v>943</v>
      </c>
      <c r="AS237" s="387">
        <f>SUMIFS(AS2:AS206,G2:G206,"ADAI",E2:E206,"0462",F2:F206,"00",AT2:AT206,1)</f>
        <v>0</v>
      </c>
      <c r="AT237" s="387">
        <f>SUMIFS(AS2:AS206,G2:G206,"ADAI",E2:E206,"0462",F2:F206,"00",AT2:AT206,3)</f>
        <v>0</v>
      </c>
      <c r="AU237" s="387">
        <f>SUMIFS(AU2:AU206,G2:G206,"ADAI",E2:E206,"0462",F2:F206,"00")</f>
        <v>0</v>
      </c>
      <c r="AV237" s="387">
        <f>SUMIFS(AV2:AV206,G2:G206,"ADAI",E2:E206,"0462",F2:F206,"00")</f>
        <v>0</v>
      </c>
      <c r="AW237" s="387">
        <f>SUMIFS(AW2:AW206,G2:G206,"ADAI",E2:E206,"0462",F2:F206,"00")</f>
        <v>0</v>
      </c>
      <c r="AX237" s="387">
        <f>SUMIFS(AX2:AX206,G2:G206,"ADAI",E2:E206,"0462",F2:F206,"00")</f>
        <v>0</v>
      </c>
      <c r="AY237" s="387">
        <f>SUMIFS(AY2:AY206,G2:G206,"ADAI",E2:E206,"0462",F2:F206,"00")</f>
        <v>0</v>
      </c>
      <c r="AZ237" s="387">
        <f>SUMIFS(AZ2:AZ206,G2:G206,"ADAI",E2:E206,"0462",F2:F206,"00")</f>
        <v>0</v>
      </c>
      <c r="BA237" s="387">
        <f>SUMIFS(BA2:BA206,G2:G206,"ADAI",E2:E206,"0462",F2:F206,"00")</f>
        <v>0</v>
      </c>
      <c r="BB237" s="387">
        <f>SUMIFS(BB2:BB206,G2:G206,"ADAI",E2:E206,"0462",F2:F206,"00")</f>
        <v>0</v>
      </c>
      <c r="BC237" s="387">
        <f>SUMIFS(BC2:BC206,G2:G206,"ADAI",E2:E206,"0462",F2:F206,"00")</f>
        <v>0</v>
      </c>
      <c r="BD237" s="387">
        <f>SUMIFS(BD2:BD206,G2:G206,"ADAI",E2:E206,"0462",F2:F206,"00")</f>
        <v>0</v>
      </c>
      <c r="BE237" s="387">
        <f>SUMIFS(BE2:BE206,G2:G206,"ADAI",E2:E206,"0462",F2:F206,"00")</f>
        <v>0</v>
      </c>
      <c r="BF237" s="387">
        <f>SUMIFS(BF2:BF206,G2:G206,"ADAI",E2:E206,"0462",F2:F206,"00")</f>
        <v>0</v>
      </c>
      <c r="BG237" s="387">
        <f>SUMIFS(BG2:BG206,G2:G206,"ADAI",E2:E206,"0462",F2:F206,"00")</f>
        <v>0</v>
      </c>
      <c r="BH237" s="387">
        <f>SUMIFS(BH2:BH206,G2:G206,"ADAI",E2:E206,"0462",F2:F206,"00")</f>
        <v>0</v>
      </c>
      <c r="BI237" s="387">
        <f>SUMIFS(BI2:BI206,G2:G206,"ADAI",E2:E206,"0462",F2:F206,"00")</f>
        <v>0</v>
      </c>
      <c r="BJ237" s="387">
        <f>SUMIFS(BJ2:BJ206,G2:G206,"ADAI",E2:E206,"0462",F2:F206,"00")</f>
        <v>0</v>
      </c>
      <c r="BK237" s="387">
        <f>SUMIFS(BK2:BK206,G2:G206,"ADAI",E2:E206,"0462",F2:F206,"00")</f>
        <v>0</v>
      </c>
      <c r="BL237" s="387">
        <f>SUMIFS(BL2:BL206,G2:G206,"ADAI",E2:E206,"0462",F2:F206,"00")</f>
        <v>0</v>
      </c>
      <c r="BM237" s="387">
        <f>SUMIFS(BM2:BM206,G2:G206,"ADAI",E2:E206,"0462",F2:F206,"00")</f>
        <v>0</v>
      </c>
      <c r="BN237" s="387">
        <f>SUMIFS(BN2:BN206,G2:G206,"ADAI",E2:E206,"0462",F2:F206,"00")</f>
        <v>0</v>
      </c>
      <c r="BO237" s="387">
        <f>SUMIFS(BO2:BO206,G2:G206,"ADAI",E2:E206,"0462",F2:F206,"00")</f>
        <v>0</v>
      </c>
      <c r="BP237" s="387">
        <f>SUMIFS(BP2:BP206,G2:G206,"ADAI",E2:E206,"0462",F2:F206,"00")</f>
        <v>0</v>
      </c>
      <c r="BQ237" s="387">
        <f>SUMIFS(BQ2:BQ206,G2:G206,"ADAI",E2:E206,"0462",F2:F206,"00")</f>
        <v>0</v>
      </c>
      <c r="BR237" s="387">
        <f>SUMIFS(BR2:BR206,G2:G206,"ADAI",E2:E206,"0462",F2:F206,"00")</f>
        <v>0</v>
      </c>
      <c r="BS237" s="387">
        <f>SUMIFS(BS2:BS206,G2:G206,"ADAI",E2:E206,"0462",F2:F206,"00")</f>
        <v>0</v>
      </c>
      <c r="BT237" s="387">
        <f>SUMIFS(BT2:BT206,G2:G206,"ADAI",E2:E206,"0462",F2:F206,"00")</f>
        <v>0</v>
      </c>
      <c r="BU237" s="387">
        <f>SUMIFS(BU2:BU206,G2:G206,"ADAI",E2:E206,"0462",F2:F206,"00")</f>
        <v>0</v>
      </c>
      <c r="BV237" s="387">
        <f>SUMIFS(BV2:BV206,G2:G206,"ADAI",E2:E206,"0462",F2:F206,"00")</f>
        <v>0</v>
      </c>
      <c r="BW237" s="387">
        <f>SUMIFS(BW2:BW206,G2:G206,"ADAI",E2:E206,"0462",F2:F206,"00")</f>
        <v>0</v>
      </c>
      <c r="BX237" s="387">
        <f>SUMIFS(BX2:BX206,G2:G206,"ADAI",E2:E206,"0462",F2:F206,"00")</f>
        <v>0</v>
      </c>
      <c r="BY237" s="387">
        <f>SUMIFS(BY2:BY206,G2:G206,"ADAI",E2:E206,"0462",F2:F206,"00")</f>
        <v>0</v>
      </c>
      <c r="BZ237" s="387">
        <f>SUMIFS(BZ2:BZ206,G2:G206,"ADAI",E2:E206,"0462",F2:F206,"00")</f>
        <v>0</v>
      </c>
      <c r="CA237" s="387">
        <f>SUMIFS(CA2:CA206,G2:G206,"ADAI",E2:E206,"0462",F2:F206,"00")</f>
        <v>0</v>
      </c>
      <c r="CB237" s="387">
        <f>SUMIFS(CB2:CB206,G2:G206,"ADAI",E2:E206,"0462",F2:F206,"00")</f>
        <v>0</v>
      </c>
      <c r="CC237" s="387">
        <f>SUMIFS(CC2:CC206,G2:G206,"ADAI",E2:E206,"0462",F2:F206,"00")</f>
        <v>0</v>
      </c>
      <c r="CD237" s="387">
        <f>SUMIFS(CD2:CD206,G2:G206,"ADAI",E2:E206,"0462",F2:F206,"00")</f>
        <v>0</v>
      </c>
      <c r="CE237" s="387">
        <f>SUMIFS(CE2:CE206,G2:G206,"ADAI",E2:E206,"0462",F2:F206,"00")</f>
        <v>0</v>
      </c>
      <c r="CF237" s="387">
        <f>SUMIFS(CF2:CF206,G2:G206,"ADAI",E2:E206,"0462",F2:F206,"00")</f>
        <v>0</v>
      </c>
      <c r="CG237" s="387">
        <f>SUMIFS(CG2:CG206,G2:G206,"ADAI",E2:E206,"0462",F2:F206,"00")</f>
        <v>0</v>
      </c>
      <c r="CH237" s="387">
        <f>SUMIFS(CH2:CH206,G2:G206,"ADAI",E2:E206,"0462",F2:F206,"00")</f>
        <v>0</v>
      </c>
      <c r="CI237" s="387">
        <f>SUMIFS(CI2:CI206,G2:G206,"ADAI",E2:E206,"0462",F2:F206,"00")</f>
        <v>0</v>
      </c>
      <c r="CJ237" s="387">
        <f>SUMIFS(CJ2:CJ206,G2:G206,"ADAI",E2:E206,"0462",F2:F206,"00")</f>
        <v>0</v>
      </c>
      <c r="CK237" s="387">
        <f>SUMIFS(CK2:CK206,G2:G206,"ADAI",E2:E206,"0462",F2:F206,"00")</f>
        <v>0</v>
      </c>
      <c r="CL237" s="387">
        <f>SUMIFS(CL2:CL206,G2:G206,"ADAI",E2:E206,"0462",F2:F206,"00")</f>
        <v>0</v>
      </c>
      <c r="CM237" s="387">
        <f>SUMIFS(CM2:CM206,G2:G206,"ADAI",E2:E206,"0462",F2:F206,"00")</f>
        <v>0</v>
      </c>
    </row>
    <row r="238" spans="43:91" ht="18.75" x14ac:dyDescent="0.3">
      <c r="AQ238" s="393" t="s">
        <v>944</v>
      </c>
      <c r="AS238" s="394">
        <f t="shared" ref="AS238:CM238" si="188">SUM(AS237:AS237)</f>
        <v>0</v>
      </c>
      <c r="AT238" s="394">
        <f t="shared" si="188"/>
        <v>0</v>
      </c>
      <c r="AU238" s="394">
        <f t="shared" si="188"/>
        <v>0</v>
      </c>
      <c r="AV238" s="394">
        <f t="shared" si="188"/>
        <v>0</v>
      </c>
      <c r="AW238" s="394">
        <f t="shared" si="188"/>
        <v>0</v>
      </c>
      <c r="AX238" s="394">
        <f t="shared" si="188"/>
        <v>0</v>
      </c>
      <c r="AY238" s="394">
        <f t="shared" si="188"/>
        <v>0</v>
      </c>
      <c r="AZ238" s="394">
        <f t="shared" si="188"/>
        <v>0</v>
      </c>
      <c r="BA238" s="394">
        <f t="shared" si="188"/>
        <v>0</v>
      </c>
      <c r="BB238" s="394">
        <f t="shared" si="188"/>
        <v>0</v>
      </c>
      <c r="BC238" s="394">
        <f t="shared" si="188"/>
        <v>0</v>
      </c>
      <c r="BD238" s="394">
        <f t="shared" si="188"/>
        <v>0</v>
      </c>
      <c r="BE238" s="394">
        <f t="shared" si="188"/>
        <v>0</v>
      </c>
      <c r="BF238" s="394">
        <f t="shared" si="188"/>
        <v>0</v>
      </c>
      <c r="BG238" s="394">
        <f t="shared" si="188"/>
        <v>0</v>
      </c>
      <c r="BH238" s="394">
        <f t="shared" si="188"/>
        <v>0</v>
      </c>
      <c r="BI238" s="394">
        <f t="shared" si="188"/>
        <v>0</v>
      </c>
      <c r="BJ238" s="394">
        <f t="shared" si="188"/>
        <v>0</v>
      </c>
      <c r="BK238" s="394">
        <f t="shared" si="188"/>
        <v>0</v>
      </c>
      <c r="BL238" s="394">
        <f t="shared" si="188"/>
        <v>0</v>
      </c>
      <c r="BM238" s="394">
        <f t="shared" si="188"/>
        <v>0</v>
      </c>
      <c r="BN238" s="394">
        <f t="shared" si="188"/>
        <v>0</v>
      </c>
      <c r="BO238" s="394">
        <f t="shared" si="188"/>
        <v>0</v>
      </c>
      <c r="BP238" s="394">
        <f t="shared" si="188"/>
        <v>0</v>
      </c>
      <c r="BQ238" s="394">
        <f t="shared" si="188"/>
        <v>0</v>
      </c>
      <c r="BR238" s="394">
        <f t="shared" si="188"/>
        <v>0</v>
      </c>
      <c r="BS238" s="394">
        <f t="shared" si="188"/>
        <v>0</v>
      </c>
      <c r="BT238" s="394">
        <f t="shared" si="188"/>
        <v>0</v>
      </c>
      <c r="BU238" s="394">
        <f t="shared" si="188"/>
        <v>0</v>
      </c>
      <c r="BV238" s="394">
        <f t="shared" si="188"/>
        <v>0</v>
      </c>
      <c r="BW238" s="394">
        <f t="shared" si="188"/>
        <v>0</v>
      </c>
      <c r="BX238" s="394">
        <f t="shared" si="188"/>
        <v>0</v>
      </c>
      <c r="BY238" s="394">
        <f t="shared" si="188"/>
        <v>0</v>
      </c>
      <c r="BZ238" s="394">
        <f t="shared" si="188"/>
        <v>0</v>
      </c>
      <c r="CA238" s="394">
        <f t="shared" si="188"/>
        <v>0</v>
      </c>
      <c r="CB238" s="394">
        <f t="shared" si="188"/>
        <v>0</v>
      </c>
      <c r="CC238" s="394">
        <f t="shared" si="188"/>
        <v>0</v>
      </c>
      <c r="CD238" s="394">
        <f t="shared" si="188"/>
        <v>0</v>
      </c>
      <c r="CE238" s="394">
        <f t="shared" si="188"/>
        <v>0</v>
      </c>
      <c r="CF238" s="394">
        <f t="shared" si="188"/>
        <v>0</v>
      </c>
      <c r="CG238" s="394">
        <f t="shared" si="188"/>
        <v>0</v>
      </c>
      <c r="CH238" s="394">
        <f t="shared" si="188"/>
        <v>0</v>
      </c>
      <c r="CI238" s="394">
        <f t="shared" si="188"/>
        <v>0</v>
      </c>
      <c r="CJ238" s="394">
        <f t="shared" si="188"/>
        <v>0</v>
      </c>
      <c r="CK238" s="394">
        <f t="shared" si="188"/>
        <v>0</v>
      </c>
      <c r="CL238" s="394">
        <f t="shared" si="188"/>
        <v>0</v>
      </c>
      <c r="CM238" s="394">
        <f t="shared" si="188"/>
        <v>0</v>
      </c>
    </row>
    <row r="239" spans="43:91" ht="15.75" thickBot="1" x14ac:dyDescent="0.3">
      <c r="AR239" t="s">
        <v>948</v>
      </c>
      <c r="AS239" s="387">
        <f>SUMIFS(AS2:AS206,G2:G206,"ADAI",E2:E206,"0519",F2:F206,"00",AT2:AT206,1)</f>
        <v>0</v>
      </c>
      <c r="AT239" s="387">
        <f>SUMIFS(AS2:AS206,G2:G206,"ADAI",E2:E206,"0519",F2:F206,"00",AT2:AT206,3)</f>
        <v>0</v>
      </c>
      <c r="AU239" s="387">
        <f>SUMIFS(AU2:AU206,G2:G206,"ADAI",E2:E206,"0519",F2:F206,"00")</f>
        <v>0</v>
      </c>
      <c r="AV239" s="387">
        <f>SUMIFS(AV2:AV206,G2:G206,"ADAI",E2:E206,"0519",F2:F206,"00")</f>
        <v>0</v>
      </c>
      <c r="AW239" s="387">
        <f>SUMIFS(AW2:AW206,G2:G206,"ADAI",E2:E206,"0519",F2:F206,"00")</f>
        <v>0</v>
      </c>
      <c r="AX239" s="387">
        <f>SUMIFS(AX2:AX206,G2:G206,"ADAI",E2:E206,"0519",F2:F206,"00")</f>
        <v>0</v>
      </c>
      <c r="AY239" s="387">
        <f>SUMIFS(AY2:AY206,G2:G206,"ADAI",E2:E206,"0519",F2:F206,"00")</f>
        <v>0</v>
      </c>
      <c r="AZ239" s="387">
        <f>SUMIFS(AZ2:AZ206,G2:G206,"ADAI",E2:E206,"0519",F2:F206,"00")</f>
        <v>0</v>
      </c>
      <c r="BA239" s="387">
        <f>SUMIFS(BA2:BA206,G2:G206,"ADAI",E2:E206,"0519",F2:F206,"00")</f>
        <v>0</v>
      </c>
      <c r="BB239" s="387">
        <f>SUMIFS(BB2:BB206,G2:G206,"ADAI",E2:E206,"0519",F2:F206,"00")</f>
        <v>0</v>
      </c>
      <c r="BC239" s="387">
        <f>SUMIFS(BC2:BC206,G2:G206,"ADAI",E2:E206,"0519",F2:F206,"00")</f>
        <v>0</v>
      </c>
      <c r="BD239" s="387">
        <f>SUMIFS(BD2:BD206,G2:G206,"ADAI",E2:E206,"0519",F2:F206,"00")</f>
        <v>0</v>
      </c>
      <c r="BE239" s="387">
        <f>SUMIFS(BE2:BE206,G2:G206,"ADAI",E2:E206,"0519",F2:F206,"00")</f>
        <v>0</v>
      </c>
      <c r="BF239" s="387">
        <f>SUMIFS(BF2:BF206,G2:G206,"ADAI",E2:E206,"0519",F2:F206,"00")</f>
        <v>0</v>
      </c>
      <c r="BG239" s="387">
        <f>SUMIFS(BG2:BG206,G2:G206,"ADAI",E2:E206,"0519",F2:F206,"00")</f>
        <v>0</v>
      </c>
      <c r="BH239" s="387">
        <f>SUMIFS(BH2:BH206,G2:G206,"ADAI",E2:E206,"0519",F2:F206,"00")</f>
        <v>0</v>
      </c>
      <c r="BI239" s="387">
        <f>SUMIFS(BI2:BI206,G2:G206,"ADAI",E2:E206,"0519",F2:F206,"00")</f>
        <v>0</v>
      </c>
      <c r="BJ239" s="387">
        <f>SUMIFS(BJ2:BJ206,G2:G206,"ADAI",E2:E206,"0519",F2:F206,"00")</f>
        <v>0</v>
      </c>
      <c r="BK239" s="387">
        <f>SUMIFS(BK2:BK206,G2:G206,"ADAI",E2:E206,"0519",F2:F206,"00")</f>
        <v>0</v>
      </c>
      <c r="BL239" s="387">
        <f>SUMIFS(BL2:BL206,G2:G206,"ADAI",E2:E206,"0519",F2:F206,"00")</f>
        <v>0</v>
      </c>
      <c r="BM239" s="387">
        <f>SUMIFS(BM2:BM206,G2:G206,"ADAI",E2:E206,"0519",F2:F206,"00")</f>
        <v>0</v>
      </c>
      <c r="BN239" s="387">
        <f>SUMIFS(BN2:BN206,G2:G206,"ADAI",E2:E206,"0519",F2:F206,"00")</f>
        <v>0</v>
      </c>
      <c r="BO239" s="387">
        <f>SUMIFS(BO2:BO206,G2:G206,"ADAI",E2:E206,"0519",F2:F206,"00")</f>
        <v>0</v>
      </c>
      <c r="BP239" s="387">
        <f>SUMIFS(BP2:BP206,G2:G206,"ADAI",E2:E206,"0519",F2:F206,"00")</f>
        <v>0</v>
      </c>
      <c r="BQ239" s="387">
        <f>SUMIFS(BQ2:BQ206,G2:G206,"ADAI",E2:E206,"0519",F2:F206,"00")</f>
        <v>0</v>
      </c>
      <c r="BR239" s="387">
        <f>SUMIFS(BR2:BR206,G2:G206,"ADAI",E2:E206,"0519",F2:F206,"00")</f>
        <v>0</v>
      </c>
      <c r="BS239" s="387">
        <f>SUMIFS(BS2:BS206,G2:G206,"ADAI",E2:E206,"0519",F2:F206,"00")</f>
        <v>0</v>
      </c>
      <c r="BT239" s="387">
        <f>SUMIFS(BT2:BT206,G2:G206,"ADAI",E2:E206,"0519",F2:F206,"00")</f>
        <v>0</v>
      </c>
      <c r="BU239" s="387">
        <f>SUMIFS(BU2:BU206,G2:G206,"ADAI",E2:E206,"0519",F2:F206,"00")</f>
        <v>0</v>
      </c>
      <c r="BV239" s="387">
        <f>SUMIFS(BV2:BV206,G2:G206,"ADAI",E2:E206,"0519",F2:F206,"00")</f>
        <v>0</v>
      </c>
      <c r="BW239" s="387">
        <f>SUMIFS(BW2:BW206,G2:G206,"ADAI",E2:E206,"0519",F2:F206,"00")</f>
        <v>0</v>
      </c>
      <c r="BX239" s="387">
        <f>SUMIFS(BX2:BX206,G2:G206,"ADAI",E2:E206,"0519",F2:F206,"00")</f>
        <v>0</v>
      </c>
      <c r="BY239" s="387">
        <f>SUMIFS(BY2:BY206,G2:G206,"ADAI",E2:E206,"0519",F2:F206,"00")</f>
        <v>0</v>
      </c>
      <c r="BZ239" s="387">
        <f>SUMIFS(BZ2:BZ206,G2:G206,"ADAI",E2:E206,"0519",F2:F206,"00")</f>
        <v>0</v>
      </c>
      <c r="CA239" s="387">
        <f>SUMIFS(CA2:CA206,G2:G206,"ADAI",E2:E206,"0519",F2:F206,"00")</f>
        <v>0</v>
      </c>
      <c r="CB239" s="387">
        <f>SUMIFS(CB2:CB206,G2:G206,"ADAI",E2:E206,"0519",F2:F206,"00")</f>
        <v>0</v>
      </c>
      <c r="CC239" s="387">
        <f>SUMIFS(CC2:CC206,G2:G206,"ADAI",E2:E206,"0519",F2:F206,"00")</f>
        <v>0</v>
      </c>
      <c r="CD239" s="387">
        <f>SUMIFS(CD2:CD206,G2:G206,"ADAI",E2:E206,"0519",F2:F206,"00")</f>
        <v>0</v>
      </c>
      <c r="CE239" s="387">
        <f>SUMIFS(CE2:CE206,G2:G206,"ADAI",E2:E206,"0519",F2:F206,"00")</f>
        <v>0</v>
      </c>
      <c r="CF239" s="387">
        <f>SUMIFS(CF2:CF206,G2:G206,"ADAI",E2:E206,"0519",F2:F206,"00")</f>
        <v>0</v>
      </c>
      <c r="CG239" s="387">
        <f>SUMIFS(CG2:CG206,G2:G206,"ADAI",E2:E206,"0519",F2:F206,"00")</f>
        <v>0</v>
      </c>
      <c r="CH239" s="387">
        <f>SUMIFS(CH2:CH206,G2:G206,"ADAI",E2:E206,"0519",F2:F206,"00")</f>
        <v>0</v>
      </c>
      <c r="CI239" s="387">
        <f>SUMIFS(CI2:CI206,G2:G206,"ADAI",E2:E206,"0519",F2:F206,"00")</f>
        <v>0</v>
      </c>
      <c r="CJ239" s="387">
        <f>SUMIFS(CJ2:CJ206,G2:G206,"ADAI",E2:E206,"0519",F2:F206,"00")</f>
        <v>0</v>
      </c>
      <c r="CK239" s="387">
        <f>SUMIFS(CK2:CK206,G2:G206,"ADAI",E2:E206,"0519",F2:F206,"00")</f>
        <v>0</v>
      </c>
      <c r="CL239" s="387">
        <f>SUMIFS(CL2:CL206,G2:G206,"ADAI",E2:E206,"0519",F2:F206,"00")</f>
        <v>0</v>
      </c>
      <c r="CM239" s="387">
        <f>SUMIFS(CM2:CM206,G2:G206,"ADAI",E2:E206,"0519",F2:F206,"00")</f>
        <v>0</v>
      </c>
    </row>
    <row r="240" spans="43:91" ht="18.75" x14ac:dyDescent="0.3">
      <c r="AQ240" s="393" t="s">
        <v>949</v>
      </c>
      <c r="AS240" s="394">
        <f t="shared" ref="AS240:CM240" si="189">SUM(AS239:AS239)</f>
        <v>0</v>
      </c>
      <c r="AT240" s="394">
        <f t="shared" si="189"/>
        <v>0</v>
      </c>
      <c r="AU240" s="394">
        <f t="shared" si="189"/>
        <v>0</v>
      </c>
      <c r="AV240" s="394">
        <f t="shared" si="189"/>
        <v>0</v>
      </c>
      <c r="AW240" s="394">
        <f t="shared" si="189"/>
        <v>0</v>
      </c>
      <c r="AX240" s="394">
        <f t="shared" si="189"/>
        <v>0</v>
      </c>
      <c r="AY240" s="394">
        <f t="shared" si="189"/>
        <v>0</v>
      </c>
      <c r="AZ240" s="394">
        <f t="shared" si="189"/>
        <v>0</v>
      </c>
      <c r="BA240" s="394">
        <f t="shared" si="189"/>
        <v>0</v>
      </c>
      <c r="BB240" s="394">
        <f t="shared" si="189"/>
        <v>0</v>
      </c>
      <c r="BC240" s="394">
        <f t="shared" si="189"/>
        <v>0</v>
      </c>
      <c r="BD240" s="394">
        <f t="shared" si="189"/>
        <v>0</v>
      </c>
      <c r="BE240" s="394">
        <f t="shared" si="189"/>
        <v>0</v>
      </c>
      <c r="BF240" s="394">
        <f t="shared" si="189"/>
        <v>0</v>
      </c>
      <c r="BG240" s="394">
        <f t="shared" si="189"/>
        <v>0</v>
      </c>
      <c r="BH240" s="394">
        <f t="shared" si="189"/>
        <v>0</v>
      </c>
      <c r="BI240" s="394">
        <f t="shared" si="189"/>
        <v>0</v>
      </c>
      <c r="BJ240" s="394">
        <f t="shared" si="189"/>
        <v>0</v>
      </c>
      <c r="BK240" s="394">
        <f t="shared" si="189"/>
        <v>0</v>
      </c>
      <c r="BL240" s="394">
        <f t="shared" si="189"/>
        <v>0</v>
      </c>
      <c r="BM240" s="394">
        <f t="shared" si="189"/>
        <v>0</v>
      </c>
      <c r="BN240" s="394">
        <f t="shared" si="189"/>
        <v>0</v>
      </c>
      <c r="BO240" s="394">
        <f t="shared" si="189"/>
        <v>0</v>
      </c>
      <c r="BP240" s="394">
        <f t="shared" si="189"/>
        <v>0</v>
      </c>
      <c r="BQ240" s="394">
        <f t="shared" si="189"/>
        <v>0</v>
      </c>
      <c r="BR240" s="394">
        <f t="shared" si="189"/>
        <v>0</v>
      </c>
      <c r="BS240" s="394">
        <f t="shared" si="189"/>
        <v>0</v>
      </c>
      <c r="BT240" s="394">
        <f t="shared" si="189"/>
        <v>0</v>
      </c>
      <c r="BU240" s="394">
        <f t="shared" si="189"/>
        <v>0</v>
      </c>
      <c r="BV240" s="394">
        <f t="shared" si="189"/>
        <v>0</v>
      </c>
      <c r="BW240" s="394">
        <f t="shared" si="189"/>
        <v>0</v>
      </c>
      <c r="BX240" s="394">
        <f t="shared" si="189"/>
        <v>0</v>
      </c>
      <c r="BY240" s="394">
        <f t="shared" si="189"/>
        <v>0</v>
      </c>
      <c r="BZ240" s="394">
        <f t="shared" si="189"/>
        <v>0</v>
      </c>
      <c r="CA240" s="394">
        <f t="shared" si="189"/>
        <v>0</v>
      </c>
      <c r="CB240" s="394">
        <f t="shared" si="189"/>
        <v>0</v>
      </c>
      <c r="CC240" s="394">
        <f t="shared" si="189"/>
        <v>0</v>
      </c>
      <c r="CD240" s="394">
        <f t="shared" si="189"/>
        <v>0</v>
      </c>
      <c r="CE240" s="394">
        <f t="shared" si="189"/>
        <v>0</v>
      </c>
      <c r="CF240" s="394">
        <f t="shared" si="189"/>
        <v>0</v>
      </c>
      <c r="CG240" s="394">
        <f t="shared" si="189"/>
        <v>0</v>
      </c>
      <c r="CH240" s="394">
        <f t="shared" si="189"/>
        <v>0</v>
      </c>
      <c r="CI240" s="394">
        <f t="shared" si="189"/>
        <v>0</v>
      </c>
      <c r="CJ240" s="394">
        <f t="shared" si="189"/>
        <v>0</v>
      </c>
      <c r="CK240" s="394">
        <f t="shared" si="189"/>
        <v>0</v>
      </c>
      <c r="CL240" s="394">
        <f t="shared" si="189"/>
        <v>0</v>
      </c>
      <c r="CM240" s="394">
        <f t="shared" si="189"/>
        <v>0</v>
      </c>
    </row>
    <row r="241" spans="43:91" x14ac:dyDescent="0.25">
      <c r="AR241" t="s">
        <v>950</v>
      </c>
      <c r="AS241" s="387">
        <f>SUMIFS(AS2:AS206,G2:G206,"ADAK",E2:E206,"0461",F2:F206,"00",AT2:AT206,1)</f>
        <v>0</v>
      </c>
      <c r="AT241" s="387">
        <f>SUMIFS(AS2:AS206,G2:G206,"ADAK",E2:E206,"0461",F2:F206,"00",AT2:AT206,3)</f>
        <v>0</v>
      </c>
      <c r="AU241" s="387">
        <f>SUMIFS(AU2:AU206,G2:G206,"ADAK",E2:E206,"0461",F2:F206,"00")</f>
        <v>0</v>
      </c>
      <c r="AV241" s="387">
        <f>SUMIFS(AV2:AV206,G2:G206,"ADAK",E2:E206,"0461",F2:F206,"00")</f>
        <v>0</v>
      </c>
      <c r="AW241" s="387">
        <f>SUMIFS(AW2:AW206,G2:G206,"ADAK",E2:E206,"0461",F2:F206,"00")</f>
        <v>0</v>
      </c>
      <c r="AX241" s="387">
        <f>SUMIFS(AX2:AX206,G2:G206,"ADAK",E2:E206,"0461",F2:F206,"00")</f>
        <v>0</v>
      </c>
      <c r="AY241" s="387">
        <f>SUMIFS(AY2:AY206,G2:G206,"ADAK",E2:E206,"0461",F2:F206,"00")</f>
        <v>0</v>
      </c>
      <c r="AZ241" s="387">
        <f>SUMIFS(AZ2:AZ206,G2:G206,"ADAK",E2:E206,"0461",F2:F206,"00")</f>
        <v>0</v>
      </c>
      <c r="BA241" s="387">
        <f>SUMIFS(BA2:BA206,G2:G206,"ADAK",E2:E206,"0461",F2:F206,"00")</f>
        <v>0</v>
      </c>
      <c r="BB241" s="387">
        <f>SUMIFS(BB2:BB206,G2:G206,"ADAK",E2:E206,"0461",F2:F206,"00")</f>
        <v>0</v>
      </c>
      <c r="BC241" s="387">
        <f>SUMIFS(BC2:BC206,G2:G206,"ADAK",E2:E206,"0461",F2:F206,"00")</f>
        <v>0</v>
      </c>
      <c r="BD241" s="387">
        <f>SUMIFS(BD2:BD206,G2:G206,"ADAK",E2:E206,"0461",F2:F206,"00")</f>
        <v>0</v>
      </c>
      <c r="BE241" s="387">
        <f>SUMIFS(BE2:BE206,G2:G206,"ADAK",E2:E206,"0461",F2:F206,"00")</f>
        <v>0</v>
      </c>
      <c r="BF241" s="387">
        <f>SUMIFS(BF2:BF206,G2:G206,"ADAK",E2:E206,"0461",F2:F206,"00")</f>
        <v>0</v>
      </c>
      <c r="BG241" s="387">
        <f>SUMIFS(BG2:BG206,G2:G206,"ADAK",E2:E206,"0461",F2:F206,"00")</f>
        <v>0</v>
      </c>
      <c r="BH241" s="387">
        <f>SUMIFS(BH2:BH206,G2:G206,"ADAK",E2:E206,"0461",F2:F206,"00")</f>
        <v>0</v>
      </c>
      <c r="BI241" s="387">
        <f>SUMIFS(BI2:BI206,G2:G206,"ADAK",E2:E206,"0461",F2:F206,"00")</f>
        <v>0</v>
      </c>
      <c r="BJ241" s="387">
        <f>SUMIFS(BJ2:BJ206,G2:G206,"ADAK",E2:E206,"0461",F2:F206,"00")</f>
        <v>0</v>
      </c>
      <c r="BK241" s="387">
        <f>SUMIFS(BK2:BK206,G2:G206,"ADAK",E2:E206,"0461",F2:F206,"00")</f>
        <v>0</v>
      </c>
      <c r="BL241" s="387">
        <f>SUMIFS(BL2:BL206,G2:G206,"ADAK",E2:E206,"0461",F2:F206,"00")</f>
        <v>0</v>
      </c>
      <c r="BM241" s="387">
        <f>SUMIFS(BM2:BM206,G2:G206,"ADAK",E2:E206,"0461",F2:F206,"00")</f>
        <v>0</v>
      </c>
      <c r="BN241" s="387">
        <f>SUMIFS(BN2:BN206,G2:G206,"ADAK",E2:E206,"0461",F2:F206,"00")</f>
        <v>0</v>
      </c>
      <c r="BO241" s="387">
        <f>SUMIFS(BO2:BO206,G2:G206,"ADAK",E2:E206,"0461",F2:F206,"00")</f>
        <v>0</v>
      </c>
      <c r="BP241" s="387">
        <f>SUMIFS(BP2:BP206,G2:G206,"ADAK",E2:E206,"0461",F2:F206,"00")</f>
        <v>0</v>
      </c>
      <c r="BQ241" s="387">
        <f>SUMIFS(BQ2:BQ206,G2:G206,"ADAK",E2:E206,"0461",F2:F206,"00")</f>
        <v>0</v>
      </c>
      <c r="BR241" s="387">
        <f>SUMIFS(BR2:BR206,G2:G206,"ADAK",E2:E206,"0461",F2:F206,"00")</f>
        <v>0</v>
      </c>
      <c r="BS241" s="387">
        <f>SUMIFS(BS2:BS206,G2:G206,"ADAK",E2:E206,"0461",F2:F206,"00")</f>
        <v>0</v>
      </c>
      <c r="BT241" s="387">
        <f>SUMIFS(BT2:BT206,G2:G206,"ADAK",E2:E206,"0461",F2:F206,"00")</f>
        <v>0</v>
      </c>
      <c r="BU241" s="387">
        <f>SUMIFS(BU2:BU206,G2:G206,"ADAK",E2:E206,"0461",F2:F206,"00")</f>
        <v>0</v>
      </c>
      <c r="BV241" s="387">
        <f>SUMIFS(BV2:BV206,G2:G206,"ADAK",E2:E206,"0461",F2:F206,"00")</f>
        <v>0</v>
      </c>
      <c r="BW241" s="387">
        <f>SUMIFS(BW2:BW206,G2:G206,"ADAK",E2:E206,"0461",F2:F206,"00")</f>
        <v>0</v>
      </c>
      <c r="BX241" s="387">
        <f>SUMIFS(BX2:BX206,G2:G206,"ADAK",E2:E206,"0461",F2:F206,"00")</f>
        <v>0</v>
      </c>
      <c r="BY241" s="387">
        <f>SUMIFS(BY2:BY206,G2:G206,"ADAK",E2:E206,"0461",F2:F206,"00")</f>
        <v>0</v>
      </c>
      <c r="BZ241" s="387">
        <f>SUMIFS(BZ2:BZ206,G2:G206,"ADAK",E2:E206,"0461",F2:F206,"00")</f>
        <v>0</v>
      </c>
      <c r="CA241" s="387">
        <f>SUMIFS(CA2:CA206,G2:G206,"ADAK",E2:E206,"0461",F2:F206,"00")</f>
        <v>0</v>
      </c>
      <c r="CB241" s="387">
        <f>SUMIFS(CB2:CB206,G2:G206,"ADAK",E2:E206,"0461",F2:F206,"00")</f>
        <v>0</v>
      </c>
      <c r="CC241" s="387">
        <f>SUMIFS(CC2:CC206,G2:G206,"ADAK",E2:E206,"0461",F2:F206,"00")</f>
        <v>0</v>
      </c>
      <c r="CD241" s="387">
        <f>SUMIFS(CD2:CD206,G2:G206,"ADAK",E2:E206,"0461",F2:F206,"00")</f>
        <v>0</v>
      </c>
      <c r="CE241" s="387">
        <f>SUMIFS(CE2:CE206,G2:G206,"ADAK",E2:E206,"0461",F2:F206,"00")</f>
        <v>0</v>
      </c>
      <c r="CF241" s="387">
        <f>SUMIFS(CF2:CF206,G2:G206,"ADAK",E2:E206,"0461",F2:F206,"00")</f>
        <v>0</v>
      </c>
      <c r="CG241" s="387">
        <f>SUMIFS(CG2:CG206,G2:G206,"ADAK",E2:E206,"0461",F2:F206,"00")</f>
        <v>0</v>
      </c>
      <c r="CH241" s="387">
        <f>SUMIFS(CH2:CH206,G2:G206,"ADAK",E2:E206,"0461",F2:F206,"00")</f>
        <v>0</v>
      </c>
      <c r="CI241" s="387">
        <f>SUMIFS(CI2:CI206,G2:G206,"ADAK",E2:E206,"0461",F2:F206,"00")</f>
        <v>0</v>
      </c>
      <c r="CJ241" s="387">
        <f>SUMIFS(CJ2:CJ206,G2:G206,"ADAK",E2:E206,"0461",F2:F206,"00")</f>
        <v>0</v>
      </c>
      <c r="CK241" s="387">
        <f>SUMIFS(CK2:CK206,G2:G206,"ADAK",E2:E206,"0461",F2:F206,"00")</f>
        <v>0</v>
      </c>
      <c r="CL241" s="387">
        <f>SUMIFS(CL2:CL206,G2:G206,"ADAK",E2:E206,"0461",F2:F206,"00")</f>
        <v>0</v>
      </c>
      <c r="CM241" s="387">
        <f>SUMIFS(CM2:CM206,G2:G206,"ADAK",E2:E206,"0461",F2:F206,"00")</f>
        <v>0</v>
      </c>
    </row>
    <row r="242" spans="43:91" ht="15.75" thickBot="1" x14ac:dyDescent="0.3">
      <c r="AR242" t="s">
        <v>951</v>
      </c>
      <c r="AS242" s="387">
        <f>SUMIFS(AS2:AS206,G2:G206,"ADAK",E2:E206,"0461",F2:F206,"52",AT2:AT206,1)</f>
        <v>5.0600000000000005</v>
      </c>
      <c r="AT242" s="387">
        <f>SUMIFS(AS2:AS206,G2:G206,"ADAK",E2:E206,"0461",F2:F206,"52",AT2:AT206,3)</f>
        <v>0</v>
      </c>
      <c r="AU242" s="387">
        <f>SUMIFS(AU2:AU206,G2:G206,"ADAK",E2:E206,"0461",F2:F206,"52")</f>
        <v>6</v>
      </c>
      <c r="AV242" s="387">
        <f>SUMIFS(AV2:AV206,G2:G206,"ADAK",E2:E206,"0461",F2:F206,"52")</f>
        <v>0</v>
      </c>
      <c r="AW242" s="387">
        <f>SUMIFS(AW2:AW206,G2:G206,"ADAK",E2:E206,"0461",F2:F206,"52")</f>
        <v>12</v>
      </c>
      <c r="AX242" s="387">
        <f>SUMIFS(AX2:AX206,G2:G206,"ADAK",E2:E206,"0461",F2:F206,"52")</f>
        <v>417123.19</v>
      </c>
      <c r="AY242" s="387">
        <f>SUMIFS(AY2:AY206,G2:G206,"ADAK",E2:E206,"0461",F2:F206,"52")</f>
        <v>292792.02999999997</v>
      </c>
      <c r="AZ242" s="387">
        <f>SUMIFS(AZ2:AZ206,G2:G206,"ADAK",E2:E206,"0461",F2:F206,"52")</f>
        <v>0</v>
      </c>
      <c r="BA242" s="387">
        <f>SUMIFS(BA2:BA206,G2:G206,"ADAK",E2:E206,"0461",F2:F206,"52")</f>
        <v>0</v>
      </c>
      <c r="BB242" s="387">
        <f>SUMIFS(BB2:BB206,G2:G206,"ADAK",E2:E206,"0461",F2:F206,"52")</f>
        <v>58949</v>
      </c>
      <c r="BC242" s="387">
        <f>SUMIFS(BC2:BC206,G2:G206,"ADAK",E2:E206,"0461",F2:F206,"52")</f>
        <v>0</v>
      </c>
      <c r="BD242" s="387">
        <f>SUMIFS(BD2:BD206,G2:G206,"ADAK",E2:E206,"0461",F2:F206,"52")</f>
        <v>18153.10586</v>
      </c>
      <c r="BE242" s="387">
        <f>SUMIFS(BE2:BE206,G2:G206,"ADAK",E2:E206,"0461",F2:F206,"52")</f>
        <v>4245.4844350000003</v>
      </c>
      <c r="BF242" s="387">
        <f>SUMIFS(BF2:BF206,G2:G206,"ADAK",E2:E206,"0461",F2:F206,"52")</f>
        <v>34959.368382000001</v>
      </c>
      <c r="BG242" s="387">
        <f>SUMIFS(BG2:BG206,G2:G206,"ADAK",E2:E206,"0461",F2:F206,"52")</f>
        <v>2111.0305363000002</v>
      </c>
      <c r="BH242" s="387">
        <f>SUMIFS(BH2:BH206,G2:G206,"ADAK",E2:E206,"0461",F2:F206,"52")</f>
        <v>1395.7944</v>
      </c>
      <c r="BI242" s="387">
        <f>SUMIFS(BI2:BI206,G2:G206,"ADAK",E2:E206,"0461",F2:F206,"52")</f>
        <v>871.65935999999988</v>
      </c>
      <c r="BJ242" s="387">
        <f>SUMIFS(BJ2:BJ206,G2:G206,"ADAK",E2:E206,"0461",F2:F206,"52")</f>
        <v>4069.809217</v>
      </c>
      <c r="BK242" s="387">
        <f>SUMIFS(BK2:BK206,G2:G206,"ADAK",E2:E206,"0461",F2:F206,"52")</f>
        <v>0</v>
      </c>
      <c r="BL242" s="387">
        <f>SUMIFS(BL2:BL206,G2:G206,"ADAK",E2:E206,"0461",F2:F206,"52")</f>
        <v>65806.252190300002</v>
      </c>
      <c r="BM242" s="387">
        <f>SUMIFS(BM2:BM206,G2:G206,"ADAK",E2:E206,"0461",F2:F206,"52")</f>
        <v>0</v>
      </c>
      <c r="BN242" s="387">
        <f>SUMIFS(BN2:BN206,G2:G206,"ADAK",E2:E206,"0461",F2:F206,"52")</f>
        <v>58949</v>
      </c>
      <c r="BO242" s="387">
        <f>SUMIFS(BO2:BO206,G2:G206,"ADAK",E2:E206,"0461",F2:F206,"52")</f>
        <v>0</v>
      </c>
      <c r="BP242" s="387">
        <f>SUMIFS(BP2:BP206,G2:G206,"ADAK",E2:E206,"0461",F2:F206,"52")</f>
        <v>18153.10586</v>
      </c>
      <c r="BQ242" s="387">
        <f>SUMIFS(BQ2:BQ206,G2:G206,"ADAK",E2:E206,"0461",F2:F206,"52")</f>
        <v>4245.4844350000003</v>
      </c>
      <c r="BR242" s="387">
        <f>SUMIFS(BR2:BR206,G2:G206,"ADAK",E2:E206,"0461",F2:F206,"52")</f>
        <v>34959.368382000001</v>
      </c>
      <c r="BS242" s="387">
        <f>SUMIFS(BS2:BS206,G2:G206,"ADAK",E2:E206,"0461",F2:F206,"52")</f>
        <v>2111.0305363000002</v>
      </c>
      <c r="BT242" s="387">
        <f>SUMIFS(BT2:BT206,G2:G206,"ADAK",E2:E206,"0461",F2:F206,"52")</f>
        <v>0</v>
      </c>
      <c r="BU242" s="387">
        <f>SUMIFS(BU2:BU206,G2:G206,"ADAK",E2:E206,"0461",F2:F206,"52")</f>
        <v>871.65935999999988</v>
      </c>
      <c r="BV242" s="387">
        <f>SUMIFS(BV2:BV206,G2:G206,"ADAK",E2:E206,"0461",F2:F206,"52")</f>
        <v>4069.809217</v>
      </c>
      <c r="BW242" s="387">
        <f>SUMIFS(BW2:BW206,G2:G206,"ADAK",E2:E206,"0461",F2:F206,"52")</f>
        <v>0</v>
      </c>
      <c r="BX242" s="387">
        <f>SUMIFS(BX2:BX206,G2:G206,"ADAK",E2:E206,"0461",F2:F206,"52")</f>
        <v>64410.457790300003</v>
      </c>
      <c r="BY242" s="387">
        <f>SUMIFS(BY2:BY206,G2:G206,"ADAK",E2:E206,"0461",F2:F206,"52")</f>
        <v>0</v>
      </c>
      <c r="BZ242" s="387">
        <f>SUMIFS(BZ2:BZ206,G2:G206,"ADAK",E2:E206,"0461",F2:F206,"52")</f>
        <v>0</v>
      </c>
      <c r="CA242" s="387">
        <f>SUMIFS(CA2:CA206,G2:G206,"ADAK",E2:E206,"0461",F2:F206,"52")</f>
        <v>0</v>
      </c>
      <c r="CB242" s="387">
        <f>SUMIFS(CB2:CB206,G2:G206,"ADAK",E2:E206,"0461",F2:F206,"52")</f>
        <v>0</v>
      </c>
      <c r="CC242" s="387">
        <f>SUMIFS(CC2:CC206,G2:G206,"ADAK",E2:E206,"0461",F2:F206,"52")</f>
        <v>0</v>
      </c>
      <c r="CD242" s="387">
        <f>SUMIFS(CD2:CD206,G2:G206,"ADAK",E2:E206,"0461",F2:F206,"52")</f>
        <v>0</v>
      </c>
      <c r="CE242" s="387">
        <f>SUMIFS(CE2:CE206,G2:G206,"ADAK",E2:E206,"0461",F2:F206,"52")</f>
        <v>0</v>
      </c>
      <c r="CF242" s="387">
        <f>SUMIFS(CF2:CF206,G2:G206,"ADAK",E2:E206,"0461",F2:F206,"52")</f>
        <v>-1395.7944</v>
      </c>
      <c r="CG242" s="387">
        <f>SUMIFS(CG2:CG206,G2:G206,"ADAK",E2:E206,"0461",F2:F206,"52")</f>
        <v>0</v>
      </c>
      <c r="CH242" s="387">
        <f>SUMIFS(CH2:CH206,G2:G206,"ADAK",E2:E206,"0461",F2:F206,"52")</f>
        <v>0</v>
      </c>
      <c r="CI242" s="387">
        <f>SUMIFS(CI2:CI206,G2:G206,"ADAK",E2:E206,"0461",F2:F206,"52")</f>
        <v>0</v>
      </c>
      <c r="CJ242" s="387">
        <f>SUMIFS(CJ2:CJ206,G2:G206,"ADAK",E2:E206,"0461",F2:F206,"52")</f>
        <v>-1395.7944</v>
      </c>
      <c r="CK242" s="387">
        <f>SUMIFS(CK2:CK206,G2:G206,"ADAK",E2:E206,"0461",F2:F206,"52")</f>
        <v>0</v>
      </c>
      <c r="CL242" s="387">
        <f>SUMIFS(CL2:CL206,G2:G206,"ADAK",E2:E206,"0461",F2:F206,"52")</f>
        <v>0</v>
      </c>
      <c r="CM242" s="387">
        <f>SUMIFS(CM2:CM206,G2:G206,"ADAK",E2:E206,"0461",F2:F206,"52")</f>
        <v>0</v>
      </c>
    </row>
    <row r="243" spans="43:91" ht="18.75" x14ac:dyDescent="0.3">
      <c r="AQ243" s="393" t="s">
        <v>952</v>
      </c>
      <c r="AS243" s="394">
        <f t="shared" ref="AS243:CM243" si="190">SUM(AS241:AS242)</f>
        <v>5.0600000000000005</v>
      </c>
      <c r="AT243" s="394">
        <f t="shared" si="190"/>
        <v>0</v>
      </c>
      <c r="AU243" s="394">
        <f t="shared" si="190"/>
        <v>6</v>
      </c>
      <c r="AV243" s="394">
        <f t="shared" si="190"/>
        <v>0</v>
      </c>
      <c r="AW243" s="394">
        <f t="shared" si="190"/>
        <v>12</v>
      </c>
      <c r="AX243" s="394">
        <f t="shared" si="190"/>
        <v>417123.19</v>
      </c>
      <c r="AY243" s="394">
        <f t="shared" si="190"/>
        <v>292792.02999999997</v>
      </c>
      <c r="AZ243" s="394">
        <f t="shared" si="190"/>
        <v>0</v>
      </c>
      <c r="BA243" s="394">
        <f t="shared" si="190"/>
        <v>0</v>
      </c>
      <c r="BB243" s="394">
        <f t="shared" si="190"/>
        <v>58949</v>
      </c>
      <c r="BC243" s="394">
        <f t="shared" si="190"/>
        <v>0</v>
      </c>
      <c r="BD243" s="394">
        <f t="shared" si="190"/>
        <v>18153.10586</v>
      </c>
      <c r="BE243" s="394">
        <f t="shared" si="190"/>
        <v>4245.4844350000003</v>
      </c>
      <c r="BF243" s="394">
        <f t="shared" si="190"/>
        <v>34959.368382000001</v>
      </c>
      <c r="BG243" s="394">
        <f t="shared" si="190"/>
        <v>2111.0305363000002</v>
      </c>
      <c r="BH243" s="394">
        <f t="shared" si="190"/>
        <v>1395.7944</v>
      </c>
      <c r="BI243" s="394">
        <f t="shared" si="190"/>
        <v>871.65935999999988</v>
      </c>
      <c r="BJ243" s="394">
        <f t="shared" si="190"/>
        <v>4069.809217</v>
      </c>
      <c r="BK243" s="394">
        <f t="shared" si="190"/>
        <v>0</v>
      </c>
      <c r="BL243" s="394">
        <f t="shared" si="190"/>
        <v>65806.252190300002</v>
      </c>
      <c r="BM243" s="394">
        <f t="shared" si="190"/>
        <v>0</v>
      </c>
      <c r="BN243" s="394">
        <f t="shared" si="190"/>
        <v>58949</v>
      </c>
      <c r="BO243" s="394">
        <f t="shared" si="190"/>
        <v>0</v>
      </c>
      <c r="BP243" s="394">
        <f t="shared" si="190"/>
        <v>18153.10586</v>
      </c>
      <c r="BQ243" s="394">
        <f t="shared" si="190"/>
        <v>4245.4844350000003</v>
      </c>
      <c r="BR243" s="394">
        <f t="shared" si="190"/>
        <v>34959.368382000001</v>
      </c>
      <c r="BS243" s="394">
        <f t="shared" si="190"/>
        <v>2111.0305363000002</v>
      </c>
      <c r="BT243" s="394">
        <f t="shared" si="190"/>
        <v>0</v>
      </c>
      <c r="BU243" s="394">
        <f t="shared" si="190"/>
        <v>871.65935999999988</v>
      </c>
      <c r="BV243" s="394">
        <f t="shared" si="190"/>
        <v>4069.809217</v>
      </c>
      <c r="BW243" s="394">
        <f t="shared" si="190"/>
        <v>0</v>
      </c>
      <c r="BX243" s="394">
        <f t="shared" si="190"/>
        <v>64410.457790300003</v>
      </c>
      <c r="BY243" s="394">
        <f t="shared" si="190"/>
        <v>0</v>
      </c>
      <c r="BZ243" s="394">
        <f t="shared" si="190"/>
        <v>0</v>
      </c>
      <c r="CA243" s="394">
        <f t="shared" si="190"/>
        <v>0</v>
      </c>
      <c r="CB243" s="394">
        <f t="shared" si="190"/>
        <v>0</v>
      </c>
      <c r="CC243" s="394">
        <f t="shared" si="190"/>
        <v>0</v>
      </c>
      <c r="CD243" s="394">
        <f t="shared" si="190"/>
        <v>0</v>
      </c>
      <c r="CE243" s="394">
        <f t="shared" si="190"/>
        <v>0</v>
      </c>
      <c r="CF243" s="394">
        <f t="shared" si="190"/>
        <v>-1395.7944</v>
      </c>
      <c r="CG243" s="394">
        <f t="shared" si="190"/>
        <v>0</v>
      </c>
      <c r="CH243" s="394">
        <f t="shared" si="190"/>
        <v>0</v>
      </c>
      <c r="CI243" s="394">
        <f t="shared" si="190"/>
        <v>0</v>
      </c>
      <c r="CJ243" s="394">
        <f t="shared" si="190"/>
        <v>-1395.7944</v>
      </c>
      <c r="CK243" s="394">
        <f t="shared" si="190"/>
        <v>0</v>
      </c>
      <c r="CL243" s="394">
        <f t="shared" si="190"/>
        <v>0</v>
      </c>
      <c r="CM243" s="394">
        <f t="shared" si="190"/>
        <v>0</v>
      </c>
    </row>
    <row r="244" spans="43:91" x14ac:dyDescent="0.25">
      <c r="AR244" t="s">
        <v>954</v>
      </c>
      <c r="AS244" s="387">
        <f>SUMIFS(AS2:AS206,G2:G206,"ADAK",E2:E206,"0462",F2:F206,"00",AT2:AT206,1)</f>
        <v>0</v>
      </c>
      <c r="AT244" s="387">
        <f>SUMIFS(AS2:AS206,G2:G206,"ADAK",E2:E206,"0462",F2:F206,"00",AT2:AT206,3)</f>
        <v>0</v>
      </c>
      <c r="AU244" s="387">
        <f>SUMIFS(AU2:AU206,G2:G206,"ADAK",E2:E206,"0462",F2:F206,"00")</f>
        <v>0</v>
      </c>
      <c r="AV244" s="387">
        <f>SUMIFS(AV2:AV206,G2:G206,"ADAK",E2:E206,"0462",F2:F206,"00")</f>
        <v>0</v>
      </c>
      <c r="AW244" s="387">
        <f>SUMIFS(AW2:AW206,G2:G206,"ADAK",E2:E206,"0462",F2:F206,"00")</f>
        <v>0</v>
      </c>
      <c r="AX244" s="387">
        <f>SUMIFS(AX2:AX206,G2:G206,"ADAK",E2:E206,"0462",F2:F206,"00")</f>
        <v>0</v>
      </c>
      <c r="AY244" s="387">
        <f>SUMIFS(AY2:AY206,G2:G206,"ADAK",E2:E206,"0462",F2:F206,"00")</f>
        <v>0</v>
      </c>
      <c r="AZ244" s="387">
        <f>SUMIFS(AZ2:AZ206,G2:G206,"ADAK",E2:E206,"0462",F2:F206,"00")</f>
        <v>0</v>
      </c>
      <c r="BA244" s="387">
        <f>SUMIFS(BA2:BA206,G2:G206,"ADAK",E2:E206,"0462",F2:F206,"00")</f>
        <v>0</v>
      </c>
      <c r="BB244" s="387">
        <f>SUMIFS(BB2:BB206,G2:G206,"ADAK",E2:E206,"0462",F2:F206,"00")</f>
        <v>0</v>
      </c>
      <c r="BC244" s="387">
        <f>SUMIFS(BC2:BC206,G2:G206,"ADAK",E2:E206,"0462",F2:F206,"00")</f>
        <v>0</v>
      </c>
      <c r="BD244" s="387">
        <f>SUMIFS(BD2:BD206,G2:G206,"ADAK",E2:E206,"0462",F2:F206,"00")</f>
        <v>0</v>
      </c>
      <c r="BE244" s="387">
        <f>SUMIFS(BE2:BE206,G2:G206,"ADAK",E2:E206,"0462",F2:F206,"00")</f>
        <v>0</v>
      </c>
      <c r="BF244" s="387">
        <f>SUMIFS(BF2:BF206,G2:G206,"ADAK",E2:E206,"0462",F2:F206,"00")</f>
        <v>0</v>
      </c>
      <c r="BG244" s="387">
        <f>SUMIFS(BG2:BG206,G2:G206,"ADAK",E2:E206,"0462",F2:F206,"00")</f>
        <v>0</v>
      </c>
      <c r="BH244" s="387">
        <f>SUMIFS(BH2:BH206,G2:G206,"ADAK",E2:E206,"0462",F2:F206,"00")</f>
        <v>0</v>
      </c>
      <c r="BI244" s="387">
        <f>SUMIFS(BI2:BI206,G2:G206,"ADAK",E2:E206,"0462",F2:F206,"00")</f>
        <v>0</v>
      </c>
      <c r="BJ244" s="387">
        <f>SUMIFS(BJ2:BJ206,G2:G206,"ADAK",E2:E206,"0462",F2:F206,"00")</f>
        <v>0</v>
      </c>
      <c r="BK244" s="387">
        <f>SUMIFS(BK2:BK206,G2:G206,"ADAK",E2:E206,"0462",F2:F206,"00")</f>
        <v>0</v>
      </c>
      <c r="BL244" s="387">
        <f>SUMIFS(BL2:BL206,G2:G206,"ADAK",E2:E206,"0462",F2:F206,"00")</f>
        <v>0</v>
      </c>
      <c r="BM244" s="387">
        <f>SUMIFS(BM2:BM206,G2:G206,"ADAK",E2:E206,"0462",F2:F206,"00")</f>
        <v>0</v>
      </c>
      <c r="BN244" s="387">
        <f>SUMIFS(BN2:BN206,G2:G206,"ADAK",E2:E206,"0462",F2:F206,"00")</f>
        <v>0</v>
      </c>
      <c r="BO244" s="387">
        <f>SUMIFS(BO2:BO206,G2:G206,"ADAK",E2:E206,"0462",F2:F206,"00")</f>
        <v>0</v>
      </c>
      <c r="BP244" s="387">
        <f>SUMIFS(BP2:BP206,G2:G206,"ADAK",E2:E206,"0462",F2:F206,"00")</f>
        <v>0</v>
      </c>
      <c r="BQ244" s="387">
        <f>SUMIFS(BQ2:BQ206,G2:G206,"ADAK",E2:E206,"0462",F2:F206,"00")</f>
        <v>0</v>
      </c>
      <c r="BR244" s="387">
        <f>SUMIFS(BR2:BR206,G2:G206,"ADAK",E2:E206,"0462",F2:F206,"00")</f>
        <v>0</v>
      </c>
      <c r="BS244" s="387">
        <f>SUMIFS(BS2:BS206,G2:G206,"ADAK",E2:E206,"0462",F2:F206,"00")</f>
        <v>0</v>
      </c>
      <c r="BT244" s="387">
        <f>SUMIFS(BT2:BT206,G2:G206,"ADAK",E2:E206,"0462",F2:F206,"00")</f>
        <v>0</v>
      </c>
      <c r="BU244" s="387">
        <f>SUMIFS(BU2:BU206,G2:G206,"ADAK",E2:E206,"0462",F2:F206,"00")</f>
        <v>0</v>
      </c>
      <c r="BV244" s="387">
        <f>SUMIFS(BV2:BV206,G2:G206,"ADAK",E2:E206,"0462",F2:F206,"00")</f>
        <v>0</v>
      </c>
      <c r="BW244" s="387">
        <f>SUMIFS(BW2:BW206,G2:G206,"ADAK",E2:E206,"0462",F2:F206,"00")</f>
        <v>0</v>
      </c>
      <c r="BX244" s="387">
        <f>SUMIFS(BX2:BX206,G2:G206,"ADAK",E2:E206,"0462",F2:F206,"00")</f>
        <v>0</v>
      </c>
      <c r="BY244" s="387">
        <f>SUMIFS(BY2:BY206,G2:G206,"ADAK",E2:E206,"0462",F2:F206,"00")</f>
        <v>0</v>
      </c>
      <c r="BZ244" s="387">
        <f>SUMIFS(BZ2:BZ206,G2:G206,"ADAK",E2:E206,"0462",F2:F206,"00")</f>
        <v>0</v>
      </c>
      <c r="CA244" s="387">
        <f>SUMIFS(CA2:CA206,G2:G206,"ADAK",E2:E206,"0462",F2:F206,"00")</f>
        <v>0</v>
      </c>
      <c r="CB244" s="387">
        <f>SUMIFS(CB2:CB206,G2:G206,"ADAK",E2:E206,"0462",F2:F206,"00")</f>
        <v>0</v>
      </c>
      <c r="CC244" s="387">
        <f>SUMIFS(CC2:CC206,G2:G206,"ADAK",E2:E206,"0462",F2:F206,"00")</f>
        <v>0</v>
      </c>
      <c r="CD244" s="387">
        <f>SUMIFS(CD2:CD206,G2:G206,"ADAK",E2:E206,"0462",F2:F206,"00")</f>
        <v>0</v>
      </c>
      <c r="CE244" s="387">
        <f>SUMIFS(CE2:CE206,G2:G206,"ADAK",E2:E206,"0462",F2:F206,"00")</f>
        <v>0</v>
      </c>
      <c r="CF244" s="387">
        <f>SUMIFS(CF2:CF206,G2:G206,"ADAK",E2:E206,"0462",F2:F206,"00")</f>
        <v>0</v>
      </c>
      <c r="CG244" s="387">
        <f>SUMIFS(CG2:CG206,G2:G206,"ADAK",E2:E206,"0462",F2:F206,"00")</f>
        <v>0</v>
      </c>
      <c r="CH244" s="387">
        <f>SUMIFS(CH2:CH206,G2:G206,"ADAK",E2:E206,"0462",F2:F206,"00")</f>
        <v>0</v>
      </c>
      <c r="CI244" s="387">
        <f>SUMIFS(CI2:CI206,G2:G206,"ADAK",E2:E206,"0462",F2:F206,"00")</f>
        <v>0</v>
      </c>
      <c r="CJ244" s="387">
        <f>SUMIFS(CJ2:CJ206,G2:G206,"ADAK",E2:E206,"0462",F2:F206,"00")</f>
        <v>0</v>
      </c>
      <c r="CK244" s="387">
        <f>SUMIFS(CK2:CK206,G2:G206,"ADAK",E2:E206,"0462",F2:F206,"00")</f>
        <v>0</v>
      </c>
      <c r="CL244" s="387">
        <f>SUMIFS(CL2:CL206,G2:G206,"ADAK",E2:E206,"0462",F2:F206,"00")</f>
        <v>0</v>
      </c>
      <c r="CM244" s="387">
        <f>SUMIFS(CM2:CM206,G2:G206,"ADAK",E2:E206,"0462",F2:F206,"00")</f>
        <v>0</v>
      </c>
    </row>
    <row r="245" spans="43:91" ht="15.75" thickBot="1" x14ac:dyDescent="0.3">
      <c r="AR245" t="s">
        <v>955</v>
      </c>
      <c r="AS245" s="387">
        <f>SUMIFS(AS2:AS206,G2:G206,"ADAK",E2:E206,"0462",F2:F206,"99",AT2:AT206,1)</f>
        <v>7.1</v>
      </c>
      <c r="AT245" s="387">
        <f>SUMIFS(AS2:AS206,G2:G206,"ADAK",E2:E206,"0462",F2:F206,"99",AT2:AT206,3)</f>
        <v>0</v>
      </c>
      <c r="AU245" s="387">
        <f>SUMIFS(AU2:AU206,G2:G206,"ADAK",E2:E206,"0462",F2:F206,"99")</f>
        <v>8</v>
      </c>
      <c r="AV245" s="387">
        <f>SUMIFS(AV2:AV206,G2:G206,"ADAK",E2:E206,"0462",F2:F206,"99")</f>
        <v>0</v>
      </c>
      <c r="AW245" s="387">
        <f>SUMIFS(AW2:AW206,G2:G206,"ADAK",E2:E206,"0462",F2:F206,"99")</f>
        <v>14</v>
      </c>
      <c r="AX245" s="387">
        <f>SUMIFS(AX2:AX206,G2:G206,"ADAK",E2:E206,"0462",F2:F206,"99")</f>
        <v>573518.39</v>
      </c>
      <c r="AY245" s="387">
        <f>SUMIFS(AY2:AY206,G2:G206,"ADAK",E2:E206,"0462",F2:F206,"99")</f>
        <v>454477.92</v>
      </c>
      <c r="AZ245" s="387">
        <f>SUMIFS(AZ2:AZ206,G2:G206,"ADAK",E2:E206,"0462",F2:F206,"99")</f>
        <v>0</v>
      </c>
      <c r="BA245" s="387">
        <f>SUMIFS(BA2:BA206,G2:G206,"ADAK",E2:E206,"0462",F2:F206,"99")</f>
        <v>0</v>
      </c>
      <c r="BB245" s="387">
        <f>SUMIFS(BB2:BB206,G2:G206,"ADAK",E2:E206,"0462",F2:F206,"99")</f>
        <v>82715</v>
      </c>
      <c r="BC245" s="387">
        <f>SUMIFS(BC2:BC206,G2:G206,"ADAK",E2:E206,"0462",F2:F206,"99")</f>
        <v>0</v>
      </c>
      <c r="BD245" s="387">
        <f>SUMIFS(BD2:BD206,G2:G206,"ADAK",E2:E206,"0462",F2:F206,"99")</f>
        <v>28177.631039999997</v>
      </c>
      <c r="BE245" s="387">
        <f>SUMIFS(BE2:BE206,G2:G206,"ADAK",E2:E206,"0462",F2:F206,"99")</f>
        <v>6589.9298399999998</v>
      </c>
      <c r="BF245" s="387">
        <f>SUMIFS(BF2:BF206,G2:G206,"ADAK",E2:E206,"0462",F2:F206,"99")</f>
        <v>54264.663648000002</v>
      </c>
      <c r="BG245" s="387">
        <f>SUMIFS(BG2:BG206,G2:G206,"ADAK",E2:E206,"0462",F2:F206,"99")</f>
        <v>3276.7858032000004</v>
      </c>
      <c r="BH245" s="387">
        <f>SUMIFS(BH2:BH206,G2:G206,"ADAK",E2:E206,"0462",F2:F206,"99")</f>
        <v>2162.1308799999997</v>
      </c>
      <c r="BI245" s="387">
        <f>SUMIFS(BI2:BI206,G2:G206,"ADAK",E2:E206,"0462",F2:F206,"99")</f>
        <v>1019.2590719999999</v>
      </c>
      <c r="BJ245" s="387">
        <f>SUMIFS(BJ2:BJ206,G2:G206,"ADAK",E2:E206,"0462",F2:F206,"99")</f>
        <v>6317.2430880000011</v>
      </c>
      <c r="BK245" s="387">
        <f>SUMIFS(BK2:BK206,G2:G206,"ADAK",E2:E206,"0462",F2:F206,"99")</f>
        <v>0</v>
      </c>
      <c r="BL245" s="387">
        <f>SUMIFS(BL2:BL206,G2:G206,"ADAK",E2:E206,"0462",F2:F206,"99")</f>
        <v>101807.64337119999</v>
      </c>
      <c r="BM245" s="387">
        <f>SUMIFS(BM2:BM206,G2:G206,"ADAK",E2:E206,"0462",F2:F206,"99")</f>
        <v>0</v>
      </c>
      <c r="BN245" s="387">
        <f>SUMIFS(BN2:BN206,G2:G206,"ADAK",E2:E206,"0462",F2:F206,"99")</f>
        <v>82715</v>
      </c>
      <c r="BO245" s="387">
        <f>SUMIFS(BO2:BO206,G2:G206,"ADAK",E2:E206,"0462",F2:F206,"99")</f>
        <v>0</v>
      </c>
      <c r="BP245" s="387">
        <f>SUMIFS(BP2:BP206,G2:G206,"ADAK",E2:E206,"0462",F2:F206,"99")</f>
        <v>28177.631039999997</v>
      </c>
      <c r="BQ245" s="387">
        <f>SUMIFS(BQ2:BQ206,G2:G206,"ADAK",E2:E206,"0462",F2:F206,"99")</f>
        <v>6589.9298399999998</v>
      </c>
      <c r="BR245" s="387">
        <f>SUMIFS(BR2:BR206,G2:G206,"ADAK",E2:E206,"0462",F2:F206,"99")</f>
        <v>54264.663648000002</v>
      </c>
      <c r="BS245" s="387">
        <f>SUMIFS(BS2:BS206,G2:G206,"ADAK",E2:E206,"0462",F2:F206,"99")</f>
        <v>3276.7858032000004</v>
      </c>
      <c r="BT245" s="387">
        <f>SUMIFS(BT2:BT206,G2:G206,"ADAK",E2:E206,"0462",F2:F206,"99")</f>
        <v>0</v>
      </c>
      <c r="BU245" s="387">
        <f>SUMIFS(BU2:BU206,G2:G206,"ADAK",E2:E206,"0462",F2:F206,"99")</f>
        <v>1019.2590719999999</v>
      </c>
      <c r="BV245" s="387">
        <f>SUMIFS(BV2:BV206,G2:G206,"ADAK",E2:E206,"0462",F2:F206,"99")</f>
        <v>6317.2430880000011</v>
      </c>
      <c r="BW245" s="387">
        <f>SUMIFS(BW2:BW206,G2:G206,"ADAK",E2:E206,"0462",F2:F206,"99")</f>
        <v>0</v>
      </c>
      <c r="BX245" s="387">
        <f>SUMIFS(BX2:BX206,G2:G206,"ADAK",E2:E206,"0462",F2:F206,"99")</f>
        <v>99645.512491200003</v>
      </c>
      <c r="BY245" s="387">
        <f>SUMIFS(BY2:BY206,G2:G206,"ADAK",E2:E206,"0462",F2:F206,"99")</f>
        <v>0</v>
      </c>
      <c r="BZ245" s="387">
        <f>SUMIFS(BZ2:BZ206,G2:G206,"ADAK",E2:E206,"0462",F2:F206,"99")</f>
        <v>0</v>
      </c>
      <c r="CA245" s="387">
        <f>SUMIFS(CA2:CA206,G2:G206,"ADAK",E2:E206,"0462",F2:F206,"99")</f>
        <v>0</v>
      </c>
      <c r="CB245" s="387">
        <f>SUMIFS(CB2:CB206,G2:G206,"ADAK",E2:E206,"0462",F2:F206,"99")</f>
        <v>0</v>
      </c>
      <c r="CC245" s="387">
        <f>SUMIFS(CC2:CC206,G2:G206,"ADAK",E2:E206,"0462",F2:F206,"99")</f>
        <v>0</v>
      </c>
      <c r="CD245" s="387">
        <f>SUMIFS(CD2:CD206,G2:G206,"ADAK",E2:E206,"0462",F2:F206,"99")</f>
        <v>0</v>
      </c>
      <c r="CE245" s="387">
        <f>SUMIFS(CE2:CE206,G2:G206,"ADAK",E2:E206,"0462",F2:F206,"99")</f>
        <v>0</v>
      </c>
      <c r="CF245" s="387">
        <f>SUMIFS(CF2:CF206,G2:G206,"ADAK",E2:E206,"0462",F2:F206,"99")</f>
        <v>-2162.1308799999997</v>
      </c>
      <c r="CG245" s="387">
        <f>SUMIFS(CG2:CG206,G2:G206,"ADAK",E2:E206,"0462",F2:F206,"99")</f>
        <v>0</v>
      </c>
      <c r="CH245" s="387">
        <f>SUMIFS(CH2:CH206,G2:G206,"ADAK",E2:E206,"0462",F2:F206,"99")</f>
        <v>0</v>
      </c>
      <c r="CI245" s="387">
        <f>SUMIFS(CI2:CI206,G2:G206,"ADAK",E2:E206,"0462",F2:F206,"99")</f>
        <v>0</v>
      </c>
      <c r="CJ245" s="387">
        <f>SUMIFS(CJ2:CJ206,G2:G206,"ADAK",E2:E206,"0462",F2:F206,"99")</f>
        <v>-2162.1308799999997</v>
      </c>
      <c r="CK245" s="387">
        <f>SUMIFS(CK2:CK206,G2:G206,"ADAK",E2:E206,"0462",F2:F206,"99")</f>
        <v>0</v>
      </c>
      <c r="CL245" s="387">
        <f>SUMIFS(CL2:CL206,G2:G206,"ADAK",E2:E206,"0462",F2:F206,"99")</f>
        <v>0</v>
      </c>
      <c r="CM245" s="387">
        <f>SUMIFS(CM2:CM206,G2:G206,"ADAK",E2:E206,"0462",F2:F206,"99")</f>
        <v>0</v>
      </c>
    </row>
    <row r="246" spans="43:91" ht="18.75" x14ac:dyDescent="0.3">
      <c r="AQ246" s="393" t="s">
        <v>956</v>
      </c>
      <c r="AS246" s="394">
        <f t="shared" ref="AS246:CM246" si="191">SUM(AS244:AS245)</f>
        <v>7.1</v>
      </c>
      <c r="AT246" s="394">
        <f t="shared" si="191"/>
        <v>0</v>
      </c>
      <c r="AU246" s="394">
        <f t="shared" si="191"/>
        <v>8</v>
      </c>
      <c r="AV246" s="394">
        <f t="shared" si="191"/>
        <v>0</v>
      </c>
      <c r="AW246" s="394">
        <f t="shared" si="191"/>
        <v>14</v>
      </c>
      <c r="AX246" s="394">
        <f t="shared" si="191"/>
        <v>573518.39</v>
      </c>
      <c r="AY246" s="394">
        <f t="shared" si="191"/>
        <v>454477.92</v>
      </c>
      <c r="AZ246" s="394">
        <f t="shared" si="191"/>
        <v>0</v>
      </c>
      <c r="BA246" s="394">
        <f t="shared" si="191"/>
        <v>0</v>
      </c>
      <c r="BB246" s="394">
        <f t="shared" si="191"/>
        <v>82715</v>
      </c>
      <c r="BC246" s="394">
        <f t="shared" si="191"/>
        <v>0</v>
      </c>
      <c r="BD246" s="394">
        <f t="shared" si="191"/>
        <v>28177.631039999997</v>
      </c>
      <c r="BE246" s="394">
        <f t="shared" si="191"/>
        <v>6589.9298399999998</v>
      </c>
      <c r="BF246" s="394">
        <f t="shared" si="191"/>
        <v>54264.663648000002</v>
      </c>
      <c r="BG246" s="394">
        <f t="shared" si="191"/>
        <v>3276.7858032000004</v>
      </c>
      <c r="BH246" s="394">
        <f t="shared" si="191"/>
        <v>2162.1308799999997</v>
      </c>
      <c r="BI246" s="394">
        <f t="shared" si="191"/>
        <v>1019.2590719999999</v>
      </c>
      <c r="BJ246" s="394">
        <f t="shared" si="191"/>
        <v>6317.2430880000011</v>
      </c>
      <c r="BK246" s="394">
        <f t="shared" si="191"/>
        <v>0</v>
      </c>
      <c r="BL246" s="394">
        <f t="shared" si="191"/>
        <v>101807.64337119999</v>
      </c>
      <c r="BM246" s="394">
        <f t="shared" si="191"/>
        <v>0</v>
      </c>
      <c r="BN246" s="394">
        <f t="shared" si="191"/>
        <v>82715</v>
      </c>
      <c r="BO246" s="394">
        <f t="shared" si="191"/>
        <v>0</v>
      </c>
      <c r="BP246" s="394">
        <f t="shared" si="191"/>
        <v>28177.631039999997</v>
      </c>
      <c r="BQ246" s="394">
        <f t="shared" si="191"/>
        <v>6589.9298399999998</v>
      </c>
      <c r="BR246" s="394">
        <f t="shared" si="191"/>
        <v>54264.663648000002</v>
      </c>
      <c r="BS246" s="394">
        <f t="shared" si="191"/>
        <v>3276.7858032000004</v>
      </c>
      <c r="BT246" s="394">
        <f t="shared" si="191"/>
        <v>0</v>
      </c>
      <c r="BU246" s="394">
        <f t="shared" si="191"/>
        <v>1019.2590719999999</v>
      </c>
      <c r="BV246" s="394">
        <f t="shared" si="191"/>
        <v>6317.2430880000011</v>
      </c>
      <c r="BW246" s="394">
        <f t="shared" si="191"/>
        <v>0</v>
      </c>
      <c r="BX246" s="394">
        <f t="shared" si="191"/>
        <v>99645.512491200003</v>
      </c>
      <c r="BY246" s="394">
        <f t="shared" si="191"/>
        <v>0</v>
      </c>
      <c r="BZ246" s="394">
        <f t="shared" si="191"/>
        <v>0</v>
      </c>
      <c r="CA246" s="394">
        <f t="shared" si="191"/>
        <v>0</v>
      </c>
      <c r="CB246" s="394">
        <f t="shared" si="191"/>
        <v>0</v>
      </c>
      <c r="CC246" s="394">
        <f t="shared" si="191"/>
        <v>0</v>
      </c>
      <c r="CD246" s="394">
        <f t="shared" si="191"/>
        <v>0</v>
      </c>
      <c r="CE246" s="394">
        <f t="shared" si="191"/>
        <v>0</v>
      </c>
      <c r="CF246" s="394">
        <f t="shared" si="191"/>
        <v>-2162.1308799999997</v>
      </c>
      <c r="CG246" s="394">
        <f t="shared" si="191"/>
        <v>0</v>
      </c>
      <c r="CH246" s="394">
        <f t="shared" si="191"/>
        <v>0</v>
      </c>
      <c r="CI246" s="394">
        <f t="shared" si="191"/>
        <v>0</v>
      </c>
      <c r="CJ246" s="394">
        <f t="shared" si="191"/>
        <v>-2162.1308799999997</v>
      </c>
      <c r="CK246" s="394">
        <f t="shared" si="191"/>
        <v>0</v>
      </c>
      <c r="CL246" s="394">
        <f t="shared" si="191"/>
        <v>0</v>
      </c>
      <c r="CM246" s="394">
        <f t="shared" si="191"/>
        <v>0</v>
      </c>
    </row>
    <row r="247" spans="43:91" ht="15.75" thickBot="1" x14ac:dyDescent="0.3">
      <c r="AR247" t="s">
        <v>958</v>
      </c>
      <c r="AS247" s="387">
        <f>SUMIFS(AS2:AS206,G2:G206,"ADAK",E2:E206,"0519",F2:F206,"00",AT2:AT206,1)</f>
        <v>1</v>
      </c>
      <c r="AT247" s="387">
        <f>SUMIFS(AS2:AS206,G2:G206,"ADAK",E2:E206,"0519",F2:F206,"00",AT2:AT206,3)</f>
        <v>0</v>
      </c>
      <c r="AU247" s="387">
        <f>SUMIFS(AU2:AU206,G2:G206,"ADAK",E2:E206,"0519",F2:F206,"00")</f>
        <v>1</v>
      </c>
      <c r="AV247" s="387">
        <f>SUMIFS(AV2:AV206,G2:G206,"ADAK",E2:E206,"0519",F2:F206,"00")</f>
        <v>0</v>
      </c>
      <c r="AW247" s="387">
        <f>SUMIFS(AW2:AW206,G2:G206,"ADAK",E2:E206,"0519",F2:F206,"00")</f>
        <v>1</v>
      </c>
      <c r="AX247" s="387">
        <f>SUMIFS(AX2:AX206,G2:G206,"ADAK",E2:E206,"0519",F2:F206,"00")</f>
        <v>76440</v>
      </c>
      <c r="AY247" s="387">
        <f>SUMIFS(AY2:AY206,G2:G206,"ADAK",E2:E206,"0519",F2:F206,"00")</f>
        <v>76440</v>
      </c>
      <c r="AZ247" s="387">
        <f>SUMIFS(AZ2:AZ206,G2:G206,"ADAK",E2:E206,"0519",F2:F206,"00")</f>
        <v>0</v>
      </c>
      <c r="BA247" s="387">
        <f>SUMIFS(BA2:BA206,G2:G206,"ADAK",E2:E206,"0519",F2:F206,"00")</f>
        <v>0</v>
      </c>
      <c r="BB247" s="387">
        <f>SUMIFS(BB2:BB206,G2:G206,"ADAK",E2:E206,"0519",F2:F206,"00")</f>
        <v>11650</v>
      </c>
      <c r="BC247" s="387">
        <f>SUMIFS(BC2:BC206,G2:G206,"ADAK",E2:E206,"0519",F2:F206,"00")</f>
        <v>0</v>
      </c>
      <c r="BD247" s="387">
        <f>SUMIFS(BD2:BD206,G2:G206,"ADAK",E2:E206,"0519",F2:F206,"00")</f>
        <v>4739.28</v>
      </c>
      <c r="BE247" s="387">
        <f>SUMIFS(BE2:BE206,G2:G206,"ADAK",E2:E206,"0519",F2:F206,"00")</f>
        <v>1108.3800000000001</v>
      </c>
      <c r="BF247" s="387">
        <f>SUMIFS(BF2:BF206,G2:G206,"ADAK",E2:E206,"0519",F2:F206,"00")</f>
        <v>9126.9359999999997</v>
      </c>
      <c r="BG247" s="387">
        <f>SUMIFS(BG2:BG206,G2:G206,"ADAK",E2:E206,"0519",F2:F206,"00")</f>
        <v>551.13240000000008</v>
      </c>
      <c r="BH247" s="387">
        <f>SUMIFS(BH2:BH206,G2:G206,"ADAK",E2:E206,"0519",F2:F206,"00")</f>
        <v>374.55599999999998</v>
      </c>
      <c r="BI247" s="387">
        <f>SUMIFS(BI2:BI206,G2:G206,"ADAK",E2:E206,"0519",F2:F206,"00")</f>
        <v>0</v>
      </c>
      <c r="BJ247" s="387">
        <f>SUMIFS(BJ2:BJ206,G2:G206,"ADAK",E2:E206,"0519",F2:F206,"00")</f>
        <v>1062.5159999999998</v>
      </c>
      <c r="BK247" s="387">
        <f>SUMIFS(BK2:BK206,G2:G206,"ADAK",E2:E206,"0519",F2:F206,"00")</f>
        <v>0</v>
      </c>
      <c r="BL247" s="387">
        <f>SUMIFS(BL2:BL206,G2:G206,"ADAK",E2:E206,"0519",F2:F206,"00")</f>
        <v>16962.8004</v>
      </c>
      <c r="BM247" s="387">
        <f>SUMIFS(BM2:BM206,G2:G206,"ADAK",E2:E206,"0519",F2:F206,"00")</f>
        <v>0</v>
      </c>
      <c r="BN247" s="387">
        <f>SUMIFS(BN2:BN206,G2:G206,"ADAK",E2:E206,"0519",F2:F206,"00")</f>
        <v>11650</v>
      </c>
      <c r="BO247" s="387">
        <f>SUMIFS(BO2:BO206,G2:G206,"ADAK",E2:E206,"0519",F2:F206,"00")</f>
        <v>0</v>
      </c>
      <c r="BP247" s="387">
        <f>SUMIFS(BP2:BP206,G2:G206,"ADAK",E2:E206,"0519",F2:F206,"00")</f>
        <v>4739.28</v>
      </c>
      <c r="BQ247" s="387">
        <f>SUMIFS(BQ2:BQ206,G2:G206,"ADAK",E2:E206,"0519",F2:F206,"00")</f>
        <v>1108.3800000000001</v>
      </c>
      <c r="BR247" s="387">
        <f>SUMIFS(BR2:BR206,G2:G206,"ADAK",E2:E206,"0519",F2:F206,"00")</f>
        <v>9126.9359999999997</v>
      </c>
      <c r="BS247" s="387">
        <f>SUMIFS(BS2:BS206,G2:G206,"ADAK",E2:E206,"0519",F2:F206,"00")</f>
        <v>551.13240000000008</v>
      </c>
      <c r="BT247" s="387">
        <f>SUMIFS(BT2:BT206,G2:G206,"ADAK",E2:E206,"0519",F2:F206,"00")</f>
        <v>0</v>
      </c>
      <c r="BU247" s="387">
        <f>SUMIFS(BU2:BU206,G2:G206,"ADAK",E2:E206,"0519",F2:F206,"00")</f>
        <v>0</v>
      </c>
      <c r="BV247" s="387">
        <f>SUMIFS(BV2:BV206,G2:G206,"ADAK",E2:E206,"0519",F2:F206,"00")</f>
        <v>1062.5159999999998</v>
      </c>
      <c r="BW247" s="387">
        <f>SUMIFS(BW2:BW206,G2:G206,"ADAK",E2:E206,"0519",F2:F206,"00")</f>
        <v>0</v>
      </c>
      <c r="BX247" s="387">
        <f>SUMIFS(BX2:BX206,G2:G206,"ADAK",E2:E206,"0519",F2:F206,"00")</f>
        <v>16588.2444</v>
      </c>
      <c r="BY247" s="387">
        <f>SUMIFS(BY2:BY206,G2:G206,"ADAK",E2:E206,"0519",F2:F206,"00")</f>
        <v>0</v>
      </c>
      <c r="BZ247" s="387">
        <f>SUMIFS(BZ2:BZ206,G2:G206,"ADAK",E2:E206,"0519",F2:F206,"00")</f>
        <v>0</v>
      </c>
      <c r="CA247" s="387">
        <f>SUMIFS(CA2:CA206,G2:G206,"ADAK",E2:E206,"0519",F2:F206,"00")</f>
        <v>0</v>
      </c>
      <c r="CB247" s="387">
        <f>SUMIFS(CB2:CB206,G2:G206,"ADAK",E2:E206,"0519",F2:F206,"00")</f>
        <v>0</v>
      </c>
      <c r="CC247" s="387">
        <f>SUMIFS(CC2:CC206,G2:G206,"ADAK",E2:E206,"0519",F2:F206,"00")</f>
        <v>0</v>
      </c>
      <c r="CD247" s="387">
        <f>SUMIFS(CD2:CD206,G2:G206,"ADAK",E2:E206,"0519",F2:F206,"00")</f>
        <v>0</v>
      </c>
      <c r="CE247" s="387">
        <f>SUMIFS(CE2:CE206,G2:G206,"ADAK",E2:E206,"0519",F2:F206,"00")</f>
        <v>0</v>
      </c>
      <c r="CF247" s="387">
        <f>SUMIFS(CF2:CF206,G2:G206,"ADAK",E2:E206,"0519",F2:F206,"00")</f>
        <v>-374.55599999999998</v>
      </c>
      <c r="CG247" s="387">
        <f>SUMIFS(CG2:CG206,G2:G206,"ADAK",E2:E206,"0519",F2:F206,"00")</f>
        <v>0</v>
      </c>
      <c r="CH247" s="387">
        <f>SUMIFS(CH2:CH206,G2:G206,"ADAK",E2:E206,"0519",F2:F206,"00")</f>
        <v>0</v>
      </c>
      <c r="CI247" s="387">
        <f>SUMIFS(CI2:CI206,G2:G206,"ADAK",E2:E206,"0519",F2:F206,"00")</f>
        <v>0</v>
      </c>
      <c r="CJ247" s="387">
        <f>SUMIFS(CJ2:CJ206,G2:G206,"ADAK",E2:E206,"0519",F2:F206,"00")</f>
        <v>-374.55599999999998</v>
      </c>
      <c r="CK247" s="387">
        <f>SUMIFS(CK2:CK206,G2:G206,"ADAK",E2:E206,"0519",F2:F206,"00")</f>
        <v>0</v>
      </c>
      <c r="CL247" s="387">
        <f>SUMIFS(CL2:CL206,G2:G206,"ADAK",E2:E206,"0519",F2:F206,"00")</f>
        <v>0</v>
      </c>
      <c r="CM247" s="387">
        <f>SUMIFS(CM2:CM206,G2:G206,"ADAK",E2:E206,"0519",F2:F206,"00")</f>
        <v>0</v>
      </c>
    </row>
    <row r="248" spans="43:91" ht="18.75" x14ac:dyDescent="0.3">
      <c r="AQ248" s="393" t="s">
        <v>959</v>
      </c>
      <c r="AS248" s="394">
        <f t="shared" ref="AS248:CM248" si="192">SUM(AS247:AS247)</f>
        <v>1</v>
      </c>
      <c r="AT248" s="394">
        <f t="shared" si="192"/>
        <v>0</v>
      </c>
      <c r="AU248" s="394">
        <f t="shared" si="192"/>
        <v>1</v>
      </c>
      <c r="AV248" s="394">
        <f t="shared" si="192"/>
        <v>0</v>
      </c>
      <c r="AW248" s="394">
        <f t="shared" si="192"/>
        <v>1</v>
      </c>
      <c r="AX248" s="394">
        <f t="shared" si="192"/>
        <v>76440</v>
      </c>
      <c r="AY248" s="394">
        <f t="shared" si="192"/>
        <v>76440</v>
      </c>
      <c r="AZ248" s="394">
        <f t="shared" si="192"/>
        <v>0</v>
      </c>
      <c r="BA248" s="394">
        <f t="shared" si="192"/>
        <v>0</v>
      </c>
      <c r="BB248" s="394">
        <f t="shared" si="192"/>
        <v>11650</v>
      </c>
      <c r="BC248" s="394">
        <f t="shared" si="192"/>
        <v>0</v>
      </c>
      <c r="BD248" s="394">
        <f t="shared" si="192"/>
        <v>4739.28</v>
      </c>
      <c r="BE248" s="394">
        <f t="shared" si="192"/>
        <v>1108.3800000000001</v>
      </c>
      <c r="BF248" s="394">
        <f t="shared" si="192"/>
        <v>9126.9359999999997</v>
      </c>
      <c r="BG248" s="394">
        <f t="shared" si="192"/>
        <v>551.13240000000008</v>
      </c>
      <c r="BH248" s="394">
        <f t="shared" si="192"/>
        <v>374.55599999999998</v>
      </c>
      <c r="BI248" s="394">
        <f t="shared" si="192"/>
        <v>0</v>
      </c>
      <c r="BJ248" s="394">
        <f t="shared" si="192"/>
        <v>1062.5159999999998</v>
      </c>
      <c r="BK248" s="394">
        <f t="shared" si="192"/>
        <v>0</v>
      </c>
      <c r="BL248" s="394">
        <f t="shared" si="192"/>
        <v>16962.8004</v>
      </c>
      <c r="BM248" s="394">
        <f t="shared" si="192"/>
        <v>0</v>
      </c>
      <c r="BN248" s="394">
        <f t="shared" si="192"/>
        <v>11650</v>
      </c>
      <c r="BO248" s="394">
        <f t="shared" si="192"/>
        <v>0</v>
      </c>
      <c r="BP248" s="394">
        <f t="shared" si="192"/>
        <v>4739.28</v>
      </c>
      <c r="BQ248" s="394">
        <f t="shared" si="192"/>
        <v>1108.3800000000001</v>
      </c>
      <c r="BR248" s="394">
        <f t="shared" si="192"/>
        <v>9126.9359999999997</v>
      </c>
      <c r="BS248" s="394">
        <f t="shared" si="192"/>
        <v>551.13240000000008</v>
      </c>
      <c r="BT248" s="394">
        <f t="shared" si="192"/>
        <v>0</v>
      </c>
      <c r="BU248" s="394">
        <f t="shared" si="192"/>
        <v>0</v>
      </c>
      <c r="BV248" s="394">
        <f t="shared" si="192"/>
        <v>1062.5159999999998</v>
      </c>
      <c r="BW248" s="394">
        <f t="shared" si="192"/>
        <v>0</v>
      </c>
      <c r="BX248" s="394">
        <f t="shared" si="192"/>
        <v>16588.2444</v>
      </c>
      <c r="BY248" s="394">
        <f t="shared" si="192"/>
        <v>0</v>
      </c>
      <c r="BZ248" s="394">
        <f t="shared" si="192"/>
        <v>0</v>
      </c>
      <c r="CA248" s="394">
        <f t="shared" si="192"/>
        <v>0</v>
      </c>
      <c r="CB248" s="394">
        <f t="shared" si="192"/>
        <v>0</v>
      </c>
      <c r="CC248" s="394">
        <f t="shared" si="192"/>
        <v>0</v>
      </c>
      <c r="CD248" s="394">
        <f t="shared" si="192"/>
        <v>0</v>
      </c>
      <c r="CE248" s="394">
        <f t="shared" si="192"/>
        <v>0</v>
      </c>
      <c r="CF248" s="394">
        <f t="shared" si="192"/>
        <v>-374.55599999999998</v>
      </c>
      <c r="CG248" s="394">
        <f t="shared" si="192"/>
        <v>0</v>
      </c>
      <c r="CH248" s="394">
        <f t="shared" si="192"/>
        <v>0</v>
      </c>
      <c r="CI248" s="394">
        <f t="shared" si="192"/>
        <v>0</v>
      </c>
      <c r="CJ248" s="394">
        <f t="shared" si="192"/>
        <v>-374.55599999999998</v>
      </c>
      <c r="CK248" s="394">
        <f t="shared" si="192"/>
        <v>0</v>
      </c>
      <c r="CL248" s="394">
        <f t="shared" si="192"/>
        <v>0</v>
      </c>
      <c r="CM248" s="394">
        <f t="shared" si="192"/>
        <v>0</v>
      </c>
    </row>
    <row r="249" spans="43:91" ht="15.75" thickBot="1" x14ac:dyDescent="0.3">
      <c r="AR249" t="s">
        <v>961</v>
      </c>
      <c r="AS249" s="387">
        <f>SUMIFS(AS2:AS206,G2:G206,"ADAM",E2:E206,"0001",F2:F206,"00",AT2:AT206,1)</f>
        <v>0</v>
      </c>
      <c r="AT249" s="387">
        <f>SUMIFS(AS2:AS206,G2:G206,"ADAM",E2:E206,"0001",F2:F206,"00",AT2:AT206,3)</f>
        <v>0</v>
      </c>
      <c r="AU249" s="387">
        <f>SUMIFS(AU2:AU206,G2:G206,"ADAM",E2:E206,"0001",F2:F206,"00")</f>
        <v>0</v>
      </c>
      <c r="AV249" s="387">
        <f>SUMIFS(AV2:AV206,G2:G206,"ADAM",E2:E206,"0001",F2:F206,"00")</f>
        <v>0</v>
      </c>
      <c r="AW249" s="387">
        <f>SUMIFS(AW2:AW206,G2:G206,"ADAM",E2:E206,"0001",F2:F206,"00")</f>
        <v>0</v>
      </c>
      <c r="AX249" s="387">
        <f>SUMIFS(AX2:AX206,G2:G206,"ADAM",E2:E206,"0001",F2:F206,"00")</f>
        <v>0</v>
      </c>
      <c r="AY249" s="387">
        <f>SUMIFS(AY2:AY206,G2:G206,"ADAM",E2:E206,"0001",F2:F206,"00")</f>
        <v>0</v>
      </c>
      <c r="AZ249" s="387">
        <f>SUMIFS(AZ2:AZ206,G2:G206,"ADAM",E2:E206,"0001",F2:F206,"00")</f>
        <v>0</v>
      </c>
      <c r="BA249" s="387">
        <f>SUMIFS(BA2:BA206,G2:G206,"ADAM",E2:E206,"0001",F2:F206,"00")</f>
        <v>0</v>
      </c>
      <c r="BB249" s="387">
        <f>SUMIFS(BB2:BB206,G2:G206,"ADAM",E2:E206,"0001",F2:F206,"00")</f>
        <v>0</v>
      </c>
      <c r="BC249" s="387">
        <f>SUMIFS(BC2:BC206,G2:G206,"ADAM",E2:E206,"0001",F2:F206,"00")</f>
        <v>0</v>
      </c>
      <c r="BD249" s="387">
        <f>SUMIFS(BD2:BD206,G2:G206,"ADAM",E2:E206,"0001",F2:F206,"00")</f>
        <v>0</v>
      </c>
      <c r="BE249" s="387">
        <f>SUMIFS(BE2:BE206,G2:G206,"ADAM",E2:E206,"0001",F2:F206,"00")</f>
        <v>0</v>
      </c>
      <c r="BF249" s="387">
        <f>SUMIFS(BF2:BF206,G2:G206,"ADAM",E2:E206,"0001",F2:F206,"00")</f>
        <v>0</v>
      </c>
      <c r="BG249" s="387">
        <f>SUMIFS(BG2:BG206,G2:G206,"ADAM",E2:E206,"0001",F2:F206,"00")</f>
        <v>0</v>
      </c>
      <c r="BH249" s="387">
        <f>SUMIFS(BH2:BH206,G2:G206,"ADAM",E2:E206,"0001",F2:F206,"00")</f>
        <v>0</v>
      </c>
      <c r="BI249" s="387">
        <f>SUMIFS(BI2:BI206,G2:G206,"ADAM",E2:E206,"0001",F2:F206,"00")</f>
        <v>0</v>
      </c>
      <c r="BJ249" s="387">
        <f>SUMIFS(BJ2:BJ206,G2:G206,"ADAM",E2:E206,"0001",F2:F206,"00")</f>
        <v>0</v>
      </c>
      <c r="BK249" s="387">
        <f>SUMIFS(BK2:BK206,G2:G206,"ADAM",E2:E206,"0001",F2:F206,"00")</f>
        <v>0</v>
      </c>
      <c r="BL249" s="387">
        <f>SUMIFS(BL2:BL206,G2:G206,"ADAM",E2:E206,"0001",F2:F206,"00")</f>
        <v>0</v>
      </c>
      <c r="BM249" s="387">
        <f>SUMIFS(BM2:BM206,G2:G206,"ADAM",E2:E206,"0001",F2:F206,"00")</f>
        <v>0</v>
      </c>
      <c r="BN249" s="387">
        <f>SUMIFS(BN2:BN206,G2:G206,"ADAM",E2:E206,"0001",F2:F206,"00")</f>
        <v>0</v>
      </c>
      <c r="BO249" s="387">
        <f>SUMIFS(BO2:BO206,G2:G206,"ADAM",E2:E206,"0001",F2:F206,"00")</f>
        <v>0</v>
      </c>
      <c r="BP249" s="387">
        <f>SUMIFS(BP2:BP206,G2:G206,"ADAM",E2:E206,"0001",F2:F206,"00")</f>
        <v>0</v>
      </c>
      <c r="BQ249" s="387">
        <f>SUMIFS(BQ2:BQ206,G2:G206,"ADAM",E2:E206,"0001",F2:F206,"00")</f>
        <v>0</v>
      </c>
      <c r="BR249" s="387">
        <f>SUMIFS(BR2:BR206,G2:G206,"ADAM",E2:E206,"0001",F2:F206,"00")</f>
        <v>0</v>
      </c>
      <c r="BS249" s="387">
        <f>SUMIFS(BS2:BS206,G2:G206,"ADAM",E2:E206,"0001",F2:F206,"00")</f>
        <v>0</v>
      </c>
      <c r="BT249" s="387">
        <f>SUMIFS(BT2:BT206,G2:G206,"ADAM",E2:E206,"0001",F2:F206,"00")</f>
        <v>0</v>
      </c>
      <c r="BU249" s="387">
        <f>SUMIFS(BU2:BU206,G2:G206,"ADAM",E2:E206,"0001",F2:F206,"00")</f>
        <v>0</v>
      </c>
      <c r="BV249" s="387">
        <f>SUMIFS(BV2:BV206,G2:G206,"ADAM",E2:E206,"0001",F2:F206,"00")</f>
        <v>0</v>
      </c>
      <c r="BW249" s="387">
        <f>SUMIFS(BW2:BW206,G2:G206,"ADAM",E2:E206,"0001",F2:F206,"00")</f>
        <v>0</v>
      </c>
      <c r="BX249" s="387">
        <f>SUMIFS(BX2:BX206,G2:G206,"ADAM",E2:E206,"0001",F2:F206,"00")</f>
        <v>0</v>
      </c>
      <c r="BY249" s="387">
        <f>SUMIFS(BY2:BY206,G2:G206,"ADAM",E2:E206,"0001",F2:F206,"00")</f>
        <v>0</v>
      </c>
      <c r="BZ249" s="387">
        <f>SUMIFS(BZ2:BZ206,G2:G206,"ADAM",E2:E206,"0001",F2:F206,"00")</f>
        <v>0</v>
      </c>
      <c r="CA249" s="387">
        <f>SUMIFS(CA2:CA206,G2:G206,"ADAM",E2:E206,"0001",F2:F206,"00")</f>
        <v>0</v>
      </c>
      <c r="CB249" s="387">
        <f>SUMIFS(CB2:CB206,G2:G206,"ADAM",E2:E206,"0001",F2:F206,"00")</f>
        <v>0</v>
      </c>
      <c r="CC249" s="387">
        <f>SUMIFS(CC2:CC206,G2:G206,"ADAM",E2:E206,"0001",F2:F206,"00")</f>
        <v>0</v>
      </c>
      <c r="CD249" s="387">
        <f>SUMIFS(CD2:CD206,G2:G206,"ADAM",E2:E206,"0001",F2:F206,"00")</f>
        <v>0</v>
      </c>
      <c r="CE249" s="387">
        <f>SUMIFS(CE2:CE206,G2:G206,"ADAM",E2:E206,"0001",F2:F206,"00")</f>
        <v>0</v>
      </c>
      <c r="CF249" s="387">
        <f>SUMIFS(CF2:CF206,G2:G206,"ADAM",E2:E206,"0001",F2:F206,"00")</f>
        <v>0</v>
      </c>
      <c r="CG249" s="387">
        <f>SUMIFS(CG2:CG206,G2:G206,"ADAM",E2:E206,"0001",F2:F206,"00")</f>
        <v>0</v>
      </c>
      <c r="CH249" s="387">
        <f>SUMIFS(CH2:CH206,G2:G206,"ADAM",E2:E206,"0001",F2:F206,"00")</f>
        <v>0</v>
      </c>
      <c r="CI249" s="387">
        <f>SUMIFS(CI2:CI206,G2:G206,"ADAM",E2:E206,"0001",F2:F206,"00")</f>
        <v>0</v>
      </c>
      <c r="CJ249" s="387">
        <f>SUMIFS(CJ2:CJ206,G2:G206,"ADAM",E2:E206,"0001",F2:F206,"00")</f>
        <v>0</v>
      </c>
      <c r="CK249" s="387">
        <f>SUMIFS(CK2:CK206,G2:G206,"ADAM",E2:E206,"0001",F2:F206,"00")</f>
        <v>0</v>
      </c>
      <c r="CL249" s="387">
        <f>SUMIFS(CL2:CL206,G2:G206,"ADAM",E2:E206,"0001",F2:F206,"00")</f>
        <v>0</v>
      </c>
      <c r="CM249" s="387">
        <f>SUMIFS(CM2:CM206,G2:G206,"ADAM",E2:E206,"0001",F2:F206,"00")</f>
        <v>0</v>
      </c>
    </row>
    <row r="250" spans="43:91" ht="18.75" x14ac:dyDescent="0.3">
      <c r="AQ250" s="393" t="s">
        <v>962</v>
      </c>
      <c r="AS250" s="394">
        <f t="shared" ref="AS250:CM250" si="193">SUM(AS249:AS249)</f>
        <v>0</v>
      </c>
      <c r="AT250" s="394">
        <f t="shared" si="193"/>
        <v>0</v>
      </c>
      <c r="AU250" s="394">
        <f t="shared" si="193"/>
        <v>0</v>
      </c>
      <c r="AV250" s="394">
        <f t="shared" si="193"/>
        <v>0</v>
      </c>
      <c r="AW250" s="394">
        <f t="shared" si="193"/>
        <v>0</v>
      </c>
      <c r="AX250" s="394">
        <f t="shared" si="193"/>
        <v>0</v>
      </c>
      <c r="AY250" s="394">
        <f t="shared" si="193"/>
        <v>0</v>
      </c>
      <c r="AZ250" s="394">
        <f t="shared" si="193"/>
        <v>0</v>
      </c>
      <c r="BA250" s="394">
        <f t="shared" si="193"/>
        <v>0</v>
      </c>
      <c r="BB250" s="394">
        <f t="shared" si="193"/>
        <v>0</v>
      </c>
      <c r="BC250" s="394">
        <f t="shared" si="193"/>
        <v>0</v>
      </c>
      <c r="BD250" s="394">
        <f t="shared" si="193"/>
        <v>0</v>
      </c>
      <c r="BE250" s="394">
        <f t="shared" si="193"/>
        <v>0</v>
      </c>
      <c r="BF250" s="394">
        <f t="shared" si="193"/>
        <v>0</v>
      </c>
      <c r="BG250" s="394">
        <f t="shared" si="193"/>
        <v>0</v>
      </c>
      <c r="BH250" s="394">
        <f t="shared" si="193"/>
        <v>0</v>
      </c>
      <c r="BI250" s="394">
        <f t="shared" si="193"/>
        <v>0</v>
      </c>
      <c r="BJ250" s="394">
        <f t="shared" si="193"/>
        <v>0</v>
      </c>
      <c r="BK250" s="394">
        <f t="shared" si="193"/>
        <v>0</v>
      </c>
      <c r="BL250" s="394">
        <f t="shared" si="193"/>
        <v>0</v>
      </c>
      <c r="BM250" s="394">
        <f t="shared" si="193"/>
        <v>0</v>
      </c>
      <c r="BN250" s="394">
        <f t="shared" si="193"/>
        <v>0</v>
      </c>
      <c r="BO250" s="394">
        <f t="shared" si="193"/>
        <v>0</v>
      </c>
      <c r="BP250" s="394">
        <f t="shared" si="193"/>
        <v>0</v>
      </c>
      <c r="BQ250" s="394">
        <f t="shared" si="193"/>
        <v>0</v>
      </c>
      <c r="BR250" s="394">
        <f t="shared" si="193"/>
        <v>0</v>
      </c>
      <c r="BS250" s="394">
        <f t="shared" si="193"/>
        <v>0</v>
      </c>
      <c r="BT250" s="394">
        <f t="shared" si="193"/>
        <v>0</v>
      </c>
      <c r="BU250" s="394">
        <f t="shared" si="193"/>
        <v>0</v>
      </c>
      <c r="BV250" s="394">
        <f t="shared" si="193"/>
        <v>0</v>
      </c>
      <c r="BW250" s="394">
        <f t="shared" si="193"/>
        <v>0</v>
      </c>
      <c r="BX250" s="394">
        <f t="shared" si="193"/>
        <v>0</v>
      </c>
      <c r="BY250" s="394">
        <f t="shared" si="193"/>
        <v>0</v>
      </c>
      <c r="BZ250" s="394">
        <f t="shared" si="193"/>
        <v>0</v>
      </c>
      <c r="CA250" s="394">
        <f t="shared" si="193"/>
        <v>0</v>
      </c>
      <c r="CB250" s="394">
        <f t="shared" si="193"/>
        <v>0</v>
      </c>
      <c r="CC250" s="394">
        <f t="shared" si="193"/>
        <v>0</v>
      </c>
      <c r="CD250" s="394">
        <f t="shared" si="193"/>
        <v>0</v>
      </c>
      <c r="CE250" s="394">
        <f t="shared" si="193"/>
        <v>0</v>
      </c>
      <c r="CF250" s="394">
        <f t="shared" si="193"/>
        <v>0</v>
      </c>
      <c r="CG250" s="394">
        <f t="shared" si="193"/>
        <v>0</v>
      </c>
      <c r="CH250" s="394">
        <f t="shared" si="193"/>
        <v>0</v>
      </c>
      <c r="CI250" s="394">
        <f t="shared" si="193"/>
        <v>0</v>
      </c>
      <c r="CJ250" s="394">
        <f t="shared" si="193"/>
        <v>0</v>
      </c>
      <c r="CK250" s="394">
        <f t="shared" si="193"/>
        <v>0</v>
      </c>
      <c r="CL250" s="394">
        <f t="shared" si="193"/>
        <v>0</v>
      </c>
      <c r="CM250" s="394">
        <f t="shared" si="193"/>
        <v>0</v>
      </c>
    </row>
    <row r="251" spans="43:91" ht="15.75" thickBot="1" x14ac:dyDescent="0.3">
      <c r="AR251" t="s">
        <v>966</v>
      </c>
      <c r="AS251" s="387">
        <f>SUMIFS(AS2:AS206,G2:G206,"ADAM",E2:E206,"0450",F2:F206,"00",AT2:AT206,1)</f>
        <v>0</v>
      </c>
      <c r="AT251" s="387">
        <f>SUMIFS(AS2:AS206,G2:G206,"ADAM",E2:E206,"0450",F2:F206,"00",AT2:AT206,3)</f>
        <v>0</v>
      </c>
      <c r="AU251" s="387">
        <f>SUMIFS(AU2:AU206,G2:G206,"ADAM",E2:E206,"0450",F2:F206,"00")</f>
        <v>0</v>
      </c>
      <c r="AV251" s="387">
        <f>SUMIFS(AV2:AV206,G2:G206,"ADAM",E2:E206,"0450",F2:F206,"00")</f>
        <v>0</v>
      </c>
      <c r="AW251" s="387">
        <f>SUMIFS(AW2:AW206,G2:G206,"ADAM",E2:E206,"0450",F2:F206,"00")</f>
        <v>0</v>
      </c>
      <c r="AX251" s="387">
        <f>SUMIFS(AX2:AX206,G2:G206,"ADAM",E2:E206,"0450",F2:F206,"00")</f>
        <v>0</v>
      </c>
      <c r="AY251" s="387">
        <f>SUMIFS(AY2:AY206,G2:G206,"ADAM",E2:E206,"0450",F2:F206,"00")</f>
        <v>0</v>
      </c>
      <c r="AZ251" s="387">
        <f>SUMIFS(AZ2:AZ206,G2:G206,"ADAM",E2:E206,"0450",F2:F206,"00")</f>
        <v>0</v>
      </c>
      <c r="BA251" s="387">
        <f>SUMIFS(BA2:BA206,G2:G206,"ADAM",E2:E206,"0450",F2:F206,"00")</f>
        <v>0</v>
      </c>
      <c r="BB251" s="387">
        <f>SUMIFS(BB2:BB206,G2:G206,"ADAM",E2:E206,"0450",F2:F206,"00")</f>
        <v>0</v>
      </c>
      <c r="BC251" s="387">
        <f>SUMIFS(BC2:BC206,G2:G206,"ADAM",E2:E206,"0450",F2:F206,"00")</f>
        <v>0</v>
      </c>
      <c r="BD251" s="387">
        <f>SUMIFS(BD2:BD206,G2:G206,"ADAM",E2:E206,"0450",F2:F206,"00")</f>
        <v>0</v>
      </c>
      <c r="BE251" s="387">
        <f>SUMIFS(BE2:BE206,G2:G206,"ADAM",E2:E206,"0450",F2:F206,"00")</f>
        <v>0</v>
      </c>
      <c r="BF251" s="387">
        <f>SUMIFS(BF2:BF206,G2:G206,"ADAM",E2:E206,"0450",F2:F206,"00")</f>
        <v>0</v>
      </c>
      <c r="BG251" s="387">
        <f>SUMIFS(BG2:BG206,G2:G206,"ADAM",E2:E206,"0450",F2:F206,"00")</f>
        <v>0</v>
      </c>
      <c r="BH251" s="387">
        <f>SUMIFS(BH2:BH206,G2:G206,"ADAM",E2:E206,"0450",F2:F206,"00")</f>
        <v>0</v>
      </c>
      <c r="BI251" s="387">
        <f>SUMIFS(BI2:BI206,G2:G206,"ADAM",E2:E206,"0450",F2:F206,"00")</f>
        <v>0</v>
      </c>
      <c r="BJ251" s="387">
        <f>SUMIFS(BJ2:BJ206,G2:G206,"ADAM",E2:E206,"0450",F2:F206,"00")</f>
        <v>0</v>
      </c>
      <c r="BK251" s="387">
        <f>SUMIFS(BK2:BK206,G2:G206,"ADAM",E2:E206,"0450",F2:F206,"00")</f>
        <v>0</v>
      </c>
      <c r="BL251" s="387">
        <f>SUMIFS(BL2:BL206,G2:G206,"ADAM",E2:E206,"0450",F2:F206,"00")</f>
        <v>0</v>
      </c>
      <c r="BM251" s="387">
        <f>SUMIFS(BM2:BM206,G2:G206,"ADAM",E2:E206,"0450",F2:F206,"00")</f>
        <v>0</v>
      </c>
      <c r="BN251" s="387">
        <f>SUMIFS(BN2:BN206,G2:G206,"ADAM",E2:E206,"0450",F2:F206,"00")</f>
        <v>0</v>
      </c>
      <c r="BO251" s="387">
        <f>SUMIFS(BO2:BO206,G2:G206,"ADAM",E2:E206,"0450",F2:F206,"00")</f>
        <v>0</v>
      </c>
      <c r="BP251" s="387">
        <f>SUMIFS(BP2:BP206,G2:G206,"ADAM",E2:E206,"0450",F2:F206,"00")</f>
        <v>0</v>
      </c>
      <c r="BQ251" s="387">
        <f>SUMIFS(BQ2:BQ206,G2:G206,"ADAM",E2:E206,"0450",F2:F206,"00")</f>
        <v>0</v>
      </c>
      <c r="BR251" s="387">
        <f>SUMIFS(BR2:BR206,G2:G206,"ADAM",E2:E206,"0450",F2:F206,"00")</f>
        <v>0</v>
      </c>
      <c r="BS251" s="387">
        <f>SUMIFS(BS2:BS206,G2:G206,"ADAM",E2:E206,"0450",F2:F206,"00")</f>
        <v>0</v>
      </c>
      <c r="BT251" s="387">
        <f>SUMIFS(BT2:BT206,G2:G206,"ADAM",E2:E206,"0450",F2:F206,"00")</f>
        <v>0</v>
      </c>
      <c r="BU251" s="387">
        <f>SUMIFS(BU2:BU206,G2:G206,"ADAM",E2:E206,"0450",F2:F206,"00")</f>
        <v>0</v>
      </c>
      <c r="BV251" s="387">
        <f>SUMIFS(BV2:BV206,G2:G206,"ADAM",E2:E206,"0450",F2:F206,"00")</f>
        <v>0</v>
      </c>
      <c r="BW251" s="387">
        <f>SUMIFS(BW2:BW206,G2:G206,"ADAM",E2:E206,"0450",F2:F206,"00")</f>
        <v>0</v>
      </c>
      <c r="BX251" s="387">
        <f>SUMIFS(BX2:BX206,G2:G206,"ADAM",E2:E206,"0450",F2:F206,"00")</f>
        <v>0</v>
      </c>
      <c r="BY251" s="387">
        <f>SUMIFS(BY2:BY206,G2:G206,"ADAM",E2:E206,"0450",F2:F206,"00")</f>
        <v>0</v>
      </c>
      <c r="BZ251" s="387">
        <f>SUMIFS(BZ2:BZ206,G2:G206,"ADAM",E2:E206,"0450",F2:F206,"00")</f>
        <v>0</v>
      </c>
      <c r="CA251" s="387">
        <f>SUMIFS(CA2:CA206,G2:G206,"ADAM",E2:E206,"0450",F2:F206,"00")</f>
        <v>0</v>
      </c>
      <c r="CB251" s="387">
        <f>SUMIFS(CB2:CB206,G2:G206,"ADAM",E2:E206,"0450",F2:F206,"00")</f>
        <v>0</v>
      </c>
      <c r="CC251" s="387">
        <f>SUMIFS(CC2:CC206,G2:G206,"ADAM",E2:E206,"0450",F2:F206,"00")</f>
        <v>0</v>
      </c>
      <c r="CD251" s="387">
        <f>SUMIFS(CD2:CD206,G2:G206,"ADAM",E2:E206,"0450",F2:F206,"00")</f>
        <v>0</v>
      </c>
      <c r="CE251" s="387">
        <f>SUMIFS(CE2:CE206,G2:G206,"ADAM",E2:E206,"0450",F2:F206,"00")</f>
        <v>0</v>
      </c>
      <c r="CF251" s="387">
        <f>SUMIFS(CF2:CF206,G2:G206,"ADAM",E2:E206,"0450",F2:F206,"00")</f>
        <v>0</v>
      </c>
      <c r="CG251" s="387">
        <f>SUMIFS(CG2:CG206,G2:G206,"ADAM",E2:E206,"0450",F2:F206,"00")</f>
        <v>0</v>
      </c>
      <c r="CH251" s="387">
        <f>SUMIFS(CH2:CH206,G2:G206,"ADAM",E2:E206,"0450",F2:F206,"00")</f>
        <v>0</v>
      </c>
      <c r="CI251" s="387">
        <f>SUMIFS(CI2:CI206,G2:G206,"ADAM",E2:E206,"0450",F2:F206,"00")</f>
        <v>0</v>
      </c>
      <c r="CJ251" s="387">
        <f>SUMIFS(CJ2:CJ206,G2:G206,"ADAM",E2:E206,"0450",F2:F206,"00")</f>
        <v>0</v>
      </c>
      <c r="CK251" s="387">
        <f>SUMIFS(CK2:CK206,G2:G206,"ADAM",E2:E206,"0450",F2:F206,"00")</f>
        <v>0</v>
      </c>
      <c r="CL251" s="387">
        <f>SUMIFS(CL2:CL206,G2:G206,"ADAM",E2:E206,"0450",F2:F206,"00")</f>
        <v>0</v>
      </c>
      <c r="CM251" s="387">
        <f>SUMIFS(CM2:CM206,G2:G206,"ADAM",E2:E206,"0450",F2:F206,"00")</f>
        <v>0</v>
      </c>
    </row>
    <row r="252" spans="43:91" ht="18.75" x14ac:dyDescent="0.3">
      <c r="AQ252" s="393" t="s">
        <v>967</v>
      </c>
      <c r="AS252" s="394">
        <f t="shared" ref="AS252:CM252" si="194">SUM(AS251:AS251)</f>
        <v>0</v>
      </c>
      <c r="AT252" s="394">
        <f t="shared" si="194"/>
        <v>0</v>
      </c>
      <c r="AU252" s="394">
        <f t="shared" si="194"/>
        <v>0</v>
      </c>
      <c r="AV252" s="394">
        <f t="shared" si="194"/>
        <v>0</v>
      </c>
      <c r="AW252" s="394">
        <f t="shared" si="194"/>
        <v>0</v>
      </c>
      <c r="AX252" s="394">
        <f t="shared" si="194"/>
        <v>0</v>
      </c>
      <c r="AY252" s="394">
        <f t="shared" si="194"/>
        <v>0</v>
      </c>
      <c r="AZ252" s="394">
        <f t="shared" si="194"/>
        <v>0</v>
      </c>
      <c r="BA252" s="394">
        <f t="shared" si="194"/>
        <v>0</v>
      </c>
      <c r="BB252" s="394">
        <f t="shared" si="194"/>
        <v>0</v>
      </c>
      <c r="BC252" s="394">
        <f t="shared" si="194"/>
        <v>0</v>
      </c>
      <c r="BD252" s="394">
        <f t="shared" si="194"/>
        <v>0</v>
      </c>
      <c r="BE252" s="394">
        <f t="shared" si="194"/>
        <v>0</v>
      </c>
      <c r="BF252" s="394">
        <f t="shared" si="194"/>
        <v>0</v>
      </c>
      <c r="BG252" s="394">
        <f t="shared" si="194"/>
        <v>0</v>
      </c>
      <c r="BH252" s="394">
        <f t="shared" si="194"/>
        <v>0</v>
      </c>
      <c r="BI252" s="394">
        <f t="shared" si="194"/>
        <v>0</v>
      </c>
      <c r="BJ252" s="394">
        <f t="shared" si="194"/>
        <v>0</v>
      </c>
      <c r="BK252" s="394">
        <f t="shared" si="194"/>
        <v>0</v>
      </c>
      <c r="BL252" s="394">
        <f t="shared" si="194"/>
        <v>0</v>
      </c>
      <c r="BM252" s="394">
        <f t="shared" si="194"/>
        <v>0</v>
      </c>
      <c r="BN252" s="394">
        <f t="shared" si="194"/>
        <v>0</v>
      </c>
      <c r="BO252" s="394">
        <f t="shared" si="194"/>
        <v>0</v>
      </c>
      <c r="BP252" s="394">
        <f t="shared" si="194"/>
        <v>0</v>
      </c>
      <c r="BQ252" s="394">
        <f t="shared" si="194"/>
        <v>0</v>
      </c>
      <c r="BR252" s="394">
        <f t="shared" si="194"/>
        <v>0</v>
      </c>
      <c r="BS252" s="394">
        <f t="shared" si="194"/>
        <v>0</v>
      </c>
      <c r="BT252" s="394">
        <f t="shared" si="194"/>
        <v>0</v>
      </c>
      <c r="BU252" s="394">
        <f t="shared" si="194"/>
        <v>0</v>
      </c>
      <c r="BV252" s="394">
        <f t="shared" si="194"/>
        <v>0</v>
      </c>
      <c r="BW252" s="394">
        <f t="shared" si="194"/>
        <v>0</v>
      </c>
      <c r="BX252" s="394">
        <f t="shared" si="194"/>
        <v>0</v>
      </c>
      <c r="BY252" s="394">
        <f t="shared" si="194"/>
        <v>0</v>
      </c>
      <c r="BZ252" s="394">
        <f t="shared" si="194"/>
        <v>0</v>
      </c>
      <c r="CA252" s="394">
        <f t="shared" si="194"/>
        <v>0</v>
      </c>
      <c r="CB252" s="394">
        <f t="shared" si="194"/>
        <v>0</v>
      </c>
      <c r="CC252" s="394">
        <f t="shared" si="194"/>
        <v>0</v>
      </c>
      <c r="CD252" s="394">
        <f t="shared" si="194"/>
        <v>0</v>
      </c>
      <c r="CE252" s="394">
        <f t="shared" si="194"/>
        <v>0</v>
      </c>
      <c r="CF252" s="394">
        <f t="shared" si="194"/>
        <v>0</v>
      </c>
      <c r="CG252" s="394">
        <f t="shared" si="194"/>
        <v>0</v>
      </c>
      <c r="CH252" s="394">
        <f t="shared" si="194"/>
        <v>0</v>
      </c>
      <c r="CI252" s="394">
        <f t="shared" si="194"/>
        <v>0</v>
      </c>
      <c r="CJ252" s="394">
        <f t="shared" si="194"/>
        <v>0</v>
      </c>
      <c r="CK252" s="394">
        <f t="shared" si="194"/>
        <v>0</v>
      </c>
      <c r="CL252" s="394">
        <f t="shared" si="194"/>
        <v>0</v>
      </c>
      <c r="CM252" s="394">
        <f t="shared" si="194"/>
        <v>0</v>
      </c>
    </row>
    <row r="253" spans="43:91" ht="15.75" thickBot="1" x14ac:dyDescent="0.3">
      <c r="AR253" t="s">
        <v>969</v>
      </c>
      <c r="AS253" s="387">
        <f>SUMIFS(AS2:AS206,G2:G206,"ADAN",E2:E206,"0456",F2:F206,"00",AT2:AT206,1)</f>
        <v>0.2</v>
      </c>
      <c r="AT253" s="387">
        <f>SUMIFS(AS2:AS206,G2:G206,"ADAN",E2:E206,"0456",F2:F206,"00",AT2:AT206,3)</f>
        <v>0</v>
      </c>
      <c r="AU253" s="387">
        <f>SUMIFS(AU2:AU206,G2:G206,"ADAN",E2:E206,"0456",F2:F206,"00")</f>
        <v>2</v>
      </c>
      <c r="AV253" s="387">
        <f>SUMIFS(AV2:AV206,G2:G206,"ADAN",E2:E206,"0456",F2:F206,"00")</f>
        <v>0</v>
      </c>
      <c r="AW253" s="387">
        <f>SUMIFS(AW2:AW206,G2:G206,"ADAN",E2:E206,"0456",F2:F206,"00")</f>
        <v>10</v>
      </c>
      <c r="AX253" s="387">
        <f>SUMIFS(AX2:AX206,G2:G206,"ADAN",E2:E206,"0456",F2:F206,"00")</f>
        <v>103729.57999999999</v>
      </c>
      <c r="AY253" s="387">
        <f>SUMIFS(AY2:AY206,G2:G206,"ADAN",E2:E206,"0456",F2:F206,"00")</f>
        <v>10372.959999999999</v>
      </c>
      <c r="AZ253" s="387">
        <f>SUMIFS(AZ2:AZ206,G2:G206,"ADAN",E2:E206,"0456",F2:F206,"00")</f>
        <v>0</v>
      </c>
      <c r="BA253" s="387">
        <f>SUMIFS(BA2:BA206,G2:G206,"ADAN",E2:E206,"0456",F2:F206,"00")</f>
        <v>0</v>
      </c>
      <c r="BB253" s="387">
        <f>SUMIFS(BB2:BB206,G2:G206,"ADAN",E2:E206,"0456",F2:F206,"00")</f>
        <v>2330</v>
      </c>
      <c r="BC253" s="387">
        <f>SUMIFS(BC2:BC206,G2:G206,"ADAN",E2:E206,"0456",F2:F206,"00")</f>
        <v>0</v>
      </c>
      <c r="BD253" s="387">
        <f>SUMIFS(BD2:BD206,G2:G206,"ADAN",E2:E206,"0456",F2:F206,"00")</f>
        <v>643.12351999999987</v>
      </c>
      <c r="BE253" s="387">
        <f>SUMIFS(BE2:BE206,G2:G206,"ADAN",E2:E206,"0456",F2:F206,"00")</f>
        <v>150.40791999999999</v>
      </c>
      <c r="BF253" s="387">
        <f>SUMIFS(BF2:BF206,G2:G206,"ADAN",E2:E206,"0456",F2:F206,"00")</f>
        <v>1238.5314239999998</v>
      </c>
      <c r="BG253" s="387">
        <f>SUMIFS(BG2:BG206,G2:G206,"ADAN",E2:E206,"0456",F2:F206,"00")</f>
        <v>74.78904159999999</v>
      </c>
      <c r="BH253" s="387">
        <f>SUMIFS(BH2:BH206,G2:G206,"ADAN",E2:E206,"0456",F2:F206,"00")</f>
        <v>50.82750399999999</v>
      </c>
      <c r="BI253" s="387">
        <f>SUMIFS(BI2:BI206,G2:G206,"ADAN",E2:E206,"0456",F2:F206,"00")</f>
        <v>31.741257599999994</v>
      </c>
      <c r="BJ253" s="387">
        <f>SUMIFS(BJ2:BJ206,G2:G206,"ADAN",E2:E206,"0456",F2:F206,"00")</f>
        <v>144.184144</v>
      </c>
      <c r="BK253" s="387">
        <f>SUMIFS(BK2:BK206,G2:G206,"ADAN",E2:E206,"0456",F2:F206,"00")</f>
        <v>0</v>
      </c>
      <c r="BL253" s="387">
        <f>SUMIFS(BL2:BL206,G2:G206,"ADAN",E2:E206,"0456",F2:F206,"00")</f>
        <v>2333.6048111999999</v>
      </c>
      <c r="BM253" s="387">
        <f>SUMIFS(BM2:BM206,G2:G206,"ADAN",E2:E206,"0456",F2:F206,"00")</f>
        <v>0</v>
      </c>
      <c r="BN253" s="387">
        <f>SUMIFS(BN2:BN206,G2:G206,"ADAN",E2:E206,"0456",F2:F206,"00")</f>
        <v>2330</v>
      </c>
      <c r="BO253" s="387">
        <f>SUMIFS(BO2:BO206,G2:G206,"ADAN",E2:E206,"0456",F2:F206,"00")</f>
        <v>0</v>
      </c>
      <c r="BP253" s="387">
        <f>SUMIFS(BP2:BP206,G2:G206,"ADAN",E2:E206,"0456",F2:F206,"00")</f>
        <v>643.12351999999987</v>
      </c>
      <c r="BQ253" s="387">
        <f>SUMIFS(BQ2:BQ206,G2:G206,"ADAN",E2:E206,"0456",F2:F206,"00")</f>
        <v>150.40791999999999</v>
      </c>
      <c r="BR253" s="387">
        <f>SUMIFS(BR2:BR206,G2:G206,"ADAN",E2:E206,"0456",F2:F206,"00")</f>
        <v>1238.5314239999998</v>
      </c>
      <c r="BS253" s="387">
        <f>SUMIFS(BS2:BS206,G2:G206,"ADAN",E2:E206,"0456",F2:F206,"00")</f>
        <v>74.78904159999999</v>
      </c>
      <c r="BT253" s="387">
        <f>SUMIFS(BT2:BT206,G2:G206,"ADAN",E2:E206,"0456",F2:F206,"00")</f>
        <v>0</v>
      </c>
      <c r="BU253" s="387">
        <f>SUMIFS(BU2:BU206,G2:G206,"ADAN",E2:E206,"0456",F2:F206,"00")</f>
        <v>31.741257599999994</v>
      </c>
      <c r="BV253" s="387">
        <f>SUMIFS(BV2:BV206,G2:G206,"ADAN",E2:E206,"0456",F2:F206,"00")</f>
        <v>144.184144</v>
      </c>
      <c r="BW253" s="387">
        <f>SUMIFS(BW2:BW206,G2:G206,"ADAN",E2:E206,"0456",F2:F206,"00")</f>
        <v>0</v>
      </c>
      <c r="BX253" s="387">
        <f>SUMIFS(BX2:BX206,G2:G206,"ADAN",E2:E206,"0456",F2:F206,"00")</f>
        <v>2282.7773072</v>
      </c>
      <c r="BY253" s="387">
        <f>SUMIFS(BY2:BY206,G2:G206,"ADAN",E2:E206,"0456",F2:F206,"00")</f>
        <v>0</v>
      </c>
      <c r="BZ253" s="387">
        <f>SUMIFS(BZ2:BZ206,G2:G206,"ADAN",E2:E206,"0456",F2:F206,"00")</f>
        <v>0</v>
      </c>
      <c r="CA253" s="387">
        <f>SUMIFS(CA2:CA206,G2:G206,"ADAN",E2:E206,"0456",F2:F206,"00")</f>
        <v>0</v>
      </c>
      <c r="CB253" s="387">
        <f>SUMIFS(CB2:CB206,G2:G206,"ADAN",E2:E206,"0456",F2:F206,"00")</f>
        <v>0</v>
      </c>
      <c r="CC253" s="387">
        <f>SUMIFS(CC2:CC206,G2:G206,"ADAN",E2:E206,"0456",F2:F206,"00")</f>
        <v>0</v>
      </c>
      <c r="CD253" s="387">
        <f>SUMIFS(CD2:CD206,G2:G206,"ADAN",E2:E206,"0456",F2:F206,"00")</f>
        <v>0</v>
      </c>
      <c r="CE253" s="387">
        <f>SUMIFS(CE2:CE206,G2:G206,"ADAN",E2:E206,"0456",F2:F206,"00")</f>
        <v>0</v>
      </c>
      <c r="CF253" s="387">
        <f>SUMIFS(CF2:CF206,G2:G206,"ADAN",E2:E206,"0456",F2:F206,"00")</f>
        <v>-50.82750399999999</v>
      </c>
      <c r="CG253" s="387">
        <f>SUMIFS(CG2:CG206,G2:G206,"ADAN",E2:E206,"0456",F2:F206,"00")</f>
        <v>0</v>
      </c>
      <c r="CH253" s="387">
        <f>SUMIFS(CH2:CH206,G2:G206,"ADAN",E2:E206,"0456",F2:F206,"00")</f>
        <v>0</v>
      </c>
      <c r="CI253" s="387">
        <f>SUMIFS(CI2:CI206,G2:G206,"ADAN",E2:E206,"0456",F2:F206,"00")</f>
        <v>0</v>
      </c>
      <c r="CJ253" s="387">
        <f>SUMIFS(CJ2:CJ206,G2:G206,"ADAN",E2:E206,"0456",F2:F206,"00")</f>
        <v>-50.82750399999999</v>
      </c>
      <c r="CK253" s="387">
        <f>SUMIFS(CK2:CK206,G2:G206,"ADAN",E2:E206,"0456",F2:F206,"00")</f>
        <v>0</v>
      </c>
      <c r="CL253" s="387">
        <f>SUMIFS(CL2:CL206,G2:G206,"ADAN",E2:E206,"0456",F2:F206,"00")</f>
        <v>0</v>
      </c>
      <c r="CM253" s="387">
        <f>SUMIFS(CM2:CM206,G2:G206,"ADAN",E2:E206,"0456",F2:F206,"00")</f>
        <v>0</v>
      </c>
    </row>
    <row r="254" spans="43:91" ht="18.75" x14ac:dyDescent="0.3">
      <c r="AQ254" s="393" t="s">
        <v>970</v>
      </c>
      <c r="AS254" s="394">
        <f t="shared" ref="AS254:CM254" si="195">SUM(AS253:AS253)</f>
        <v>0.2</v>
      </c>
      <c r="AT254" s="394">
        <f t="shared" si="195"/>
        <v>0</v>
      </c>
      <c r="AU254" s="394">
        <f t="shared" si="195"/>
        <v>2</v>
      </c>
      <c r="AV254" s="394">
        <f t="shared" si="195"/>
        <v>0</v>
      </c>
      <c r="AW254" s="394">
        <f t="shared" si="195"/>
        <v>10</v>
      </c>
      <c r="AX254" s="394">
        <f t="shared" si="195"/>
        <v>103729.57999999999</v>
      </c>
      <c r="AY254" s="394">
        <f t="shared" si="195"/>
        <v>10372.959999999999</v>
      </c>
      <c r="AZ254" s="394">
        <f t="shared" si="195"/>
        <v>0</v>
      </c>
      <c r="BA254" s="394">
        <f t="shared" si="195"/>
        <v>0</v>
      </c>
      <c r="BB254" s="394">
        <f t="shared" si="195"/>
        <v>2330</v>
      </c>
      <c r="BC254" s="394">
        <f t="shared" si="195"/>
        <v>0</v>
      </c>
      <c r="BD254" s="394">
        <f t="shared" si="195"/>
        <v>643.12351999999987</v>
      </c>
      <c r="BE254" s="394">
        <f t="shared" si="195"/>
        <v>150.40791999999999</v>
      </c>
      <c r="BF254" s="394">
        <f t="shared" si="195"/>
        <v>1238.5314239999998</v>
      </c>
      <c r="BG254" s="394">
        <f t="shared" si="195"/>
        <v>74.78904159999999</v>
      </c>
      <c r="BH254" s="394">
        <f t="shared" si="195"/>
        <v>50.82750399999999</v>
      </c>
      <c r="BI254" s="394">
        <f t="shared" si="195"/>
        <v>31.741257599999994</v>
      </c>
      <c r="BJ254" s="394">
        <f t="shared" si="195"/>
        <v>144.184144</v>
      </c>
      <c r="BK254" s="394">
        <f t="shared" si="195"/>
        <v>0</v>
      </c>
      <c r="BL254" s="394">
        <f t="shared" si="195"/>
        <v>2333.6048111999999</v>
      </c>
      <c r="BM254" s="394">
        <f t="shared" si="195"/>
        <v>0</v>
      </c>
      <c r="BN254" s="394">
        <f t="shared" si="195"/>
        <v>2330</v>
      </c>
      <c r="BO254" s="394">
        <f t="shared" si="195"/>
        <v>0</v>
      </c>
      <c r="BP254" s="394">
        <f t="shared" si="195"/>
        <v>643.12351999999987</v>
      </c>
      <c r="BQ254" s="394">
        <f t="shared" si="195"/>
        <v>150.40791999999999</v>
      </c>
      <c r="BR254" s="394">
        <f t="shared" si="195"/>
        <v>1238.5314239999998</v>
      </c>
      <c r="BS254" s="394">
        <f t="shared" si="195"/>
        <v>74.78904159999999</v>
      </c>
      <c r="BT254" s="394">
        <f t="shared" si="195"/>
        <v>0</v>
      </c>
      <c r="BU254" s="394">
        <f t="shared" si="195"/>
        <v>31.741257599999994</v>
      </c>
      <c r="BV254" s="394">
        <f t="shared" si="195"/>
        <v>144.184144</v>
      </c>
      <c r="BW254" s="394">
        <f t="shared" si="195"/>
        <v>0</v>
      </c>
      <c r="BX254" s="394">
        <f t="shared" si="195"/>
        <v>2282.7773072</v>
      </c>
      <c r="BY254" s="394">
        <f t="shared" si="195"/>
        <v>0</v>
      </c>
      <c r="BZ254" s="394">
        <f t="shared" si="195"/>
        <v>0</v>
      </c>
      <c r="CA254" s="394">
        <f t="shared" si="195"/>
        <v>0</v>
      </c>
      <c r="CB254" s="394">
        <f t="shared" si="195"/>
        <v>0</v>
      </c>
      <c r="CC254" s="394">
        <f t="shared" si="195"/>
        <v>0</v>
      </c>
      <c r="CD254" s="394">
        <f t="shared" si="195"/>
        <v>0</v>
      </c>
      <c r="CE254" s="394">
        <f t="shared" si="195"/>
        <v>0</v>
      </c>
      <c r="CF254" s="394">
        <f t="shared" si="195"/>
        <v>-50.82750399999999</v>
      </c>
      <c r="CG254" s="394">
        <f t="shared" si="195"/>
        <v>0</v>
      </c>
      <c r="CH254" s="394">
        <f t="shared" si="195"/>
        <v>0</v>
      </c>
      <c r="CI254" s="394">
        <f t="shared" si="195"/>
        <v>0</v>
      </c>
      <c r="CJ254" s="394">
        <f t="shared" si="195"/>
        <v>-50.82750399999999</v>
      </c>
      <c r="CK254" s="394">
        <f t="shared" si="195"/>
        <v>0</v>
      </c>
      <c r="CL254" s="394">
        <f t="shared" si="195"/>
        <v>0</v>
      </c>
      <c r="CM254" s="394">
        <f t="shared" si="195"/>
        <v>0</v>
      </c>
    </row>
    <row r="255" spans="43:91" ht="15.75" thickBot="1" x14ac:dyDescent="0.3">
      <c r="AR255" t="s">
        <v>972</v>
      </c>
      <c r="AS255" s="387">
        <f>SUMIFS(AS2:AS206,G2:G206,"ADAN",E2:E206,"0461",F2:F206,"00",AT2:AT206,1)</f>
        <v>0.73</v>
      </c>
      <c r="AT255" s="387">
        <f>SUMIFS(AS2:AS206,G2:G206,"ADAN",E2:E206,"0461",F2:F206,"00",AT2:AT206,3)</f>
        <v>0</v>
      </c>
      <c r="AU255" s="387">
        <f>SUMIFS(AU2:AU206,G2:G206,"ADAN",E2:E206,"0461",F2:F206,"00")</f>
        <v>5</v>
      </c>
      <c r="AV255" s="387">
        <f>SUMIFS(AV2:AV206,G2:G206,"ADAN",E2:E206,"0461",F2:F206,"00")</f>
        <v>0</v>
      </c>
      <c r="AW255" s="387">
        <f>SUMIFS(AW2:AW206,G2:G206,"ADAN",E2:E206,"0461",F2:F206,"00")</f>
        <v>27</v>
      </c>
      <c r="AX255" s="387">
        <f>SUMIFS(AX2:AX206,G2:G206,"ADAN",E2:E206,"0461",F2:F206,"00")</f>
        <v>356595.14</v>
      </c>
      <c r="AY255" s="387">
        <f>SUMIFS(AY2:AY206,G2:G206,"ADAN",E2:E206,"0461",F2:F206,"00")</f>
        <v>40300.82</v>
      </c>
      <c r="AZ255" s="387">
        <f>SUMIFS(AZ2:AZ206,G2:G206,"ADAN",E2:E206,"0461",F2:F206,"00")</f>
        <v>0</v>
      </c>
      <c r="BA255" s="387">
        <f>SUMIFS(BA2:BA206,G2:G206,"ADAN",E2:E206,"0461",F2:F206,"00")</f>
        <v>0</v>
      </c>
      <c r="BB255" s="387">
        <f>SUMIFS(BB2:BB206,G2:G206,"ADAN",E2:E206,"0461",F2:F206,"00")</f>
        <v>8504.5</v>
      </c>
      <c r="BC255" s="387">
        <f>SUMIFS(BC2:BC206,G2:G206,"ADAN",E2:E206,"0461",F2:F206,"00")</f>
        <v>0</v>
      </c>
      <c r="BD255" s="387">
        <f>SUMIFS(BD2:BD206,G2:G206,"ADAN",E2:E206,"0461",F2:F206,"00")</f>
        <v>2498.6508400000002</v>
      </c>
      <c r="BE255" s="387">
        <f>SUMIFS(BE2:BE206,G2:G206,"ADAN",E2:E206,"0461",F2:F206,"00")</f>
        <v>584.36189000000002</v>
      </c>
      <c r="BF255" s="387">
        <f>SUMIFS(BF2:BF206,G2:G206,"ADAN",E2:E206,"0461",F2:F206,"00")</f>
        <v>4811.9179080000004</v>
      </c>
      <c r="BG255" s="387">
        <f>SUMIFS(BG2:BG206,G2:G206,"ADAN",E2:E206,"0461",F2:F206,"00")</f>
        <v>290.5689122</v>
      </c>
      <c r="BH255" s="387">
        <f>SUMIFS(BH2:BH206,G2:G206,"ADAN",E2:E206,"0461",F2:F206,"00")</f>
        <v>165.06855399999998</v>
      </c>
      <c r="BI255" s="387">
        <f>SUMIFS(BI2:BI206,G2:G206,"ADAN",E2:E206,"0461",F2:F206,"00")</f>
        <v>103.08362759999999</v>
      </c>
      <c r="BJ255" s="387">
        <f>SUMIFS(BJ2:BJ206,G2:G206,"ADAN",E2:E206,"0461",F2:F206,"00")</f>
        <v>560.18139799999994</v>
      </c>
      <c r="BK255" s="387">
        <f>SUMIFS(BK2:BK206,G2:G206,"ADAN",E2:E206,"0461",F2:F206,"00")</f>
        <v>0</v>
      </c>
      <c r="BL255" s="387">
        <f>SUMIFS(BL2:BL206,G2:G206,"ADAN",E2:E206,"0461",F2:F206,"00")</f>
        <v>9013.8331298000012</v>
      </c>
      <c r="BM255" s="387">
        <f>SUMIFS(BM2:BM206,G2:G206,"ADAN",E2:E206,"0461",F2:F206,"00")</f>
        <v>0</v>
      </c>
      <c r="BN255" s="387">
        <f>SUMIFS(BN2:BN206,G2:G206,"ADAN",E2:E206,"0461",F2:F206,"00")</f>
        <v>8504.5</v>
      </c>
      <c r="BO255" s="387">
        <f>SUMIFS(BO2:BO206,G2:G206,"ADAN",E2:E206,"0461",F2:F206,"00")</f>
        <v>0</v>
      </c>
      <c r="BP255" s="387">
        <f>SUMIFS(BP2:BP206,G2:G206,"ADAN",E2:E206,"0461",F2:F206,"00")</f>
        <v>2498.6508400000002</v>
      </c>
      <c r="BQ255" s="387">
        <f>SUMIFS(BQ2:BQ206,G2:G206,"ADAN",E2:E206,"0461",F2:F206,"00")</f>
        <v>584.36189000000002</v>
      </c>
      <c r="BR255" s="387">
        <f>SUMIFS(BR2:BR206,G2:G206,"ADAN",E2:E206,"0461",F2:F206,"00")</f>
        <v>4811.9179080000004</v>
      </c>
      <c r="BS255" s="387">
        <f>SUMIFS(BS2:BS206,G2:G206,"ADAN",E2:E206,"0461",F2:F206,"00")</f>
        <v>290.5689122</v>
      </c>
      <c r="BT255" s="387">
        <f>SUMIFS(BT2:BT206,G2:G206,"ADAN",E2:E206,"0461",F2:F206,"00")</f>
        <v>0</v>
      </c>
      <c r="BU255" s="387">
        <f>SUMIFS(BU2:BU206,G2:G206,"ADAN",E2:E206,"0461",F2:F206,"00")</f>
        <v>103.08362759999999</v>
      </c>
      <c r="BV255" s="387">
        <f>SUMIFS(BV2:BV206,G2:G206,"ADAN",E2:E206,"0461",F2:F206,"00")</f>
        <v>560.18139799999994</v>
      </c>
      <c r="BW255" s="387">
        <f>SUMIFS(BW2:BW206,G2:G206,"ADAN",E2:E206,"0461",F2:F206,"00")</f>
        <v>0</v>
      </c>
      <c r="BX255" s="387">
        <f>SUMIFS(BX2:BX206,G2:G206,"ADAN",E2:E206,"0461",F2:F206,"00")</f>
        <v>8848.7645757999999</v>
      </c>
      <c r="BY255" s="387">
        <f>SUMIFS(BY2:BY206,G2:G206,"ADAN",E2:E206,"0461",F2:F206,"00")</f>
        <v>0</v>
      </c>
      <c r="BZ255" s="387">
        <f>SUMIFS(BZ2:BZ206,G2:G206,"ADAN",E2:E206,"0461",F2:F206,"00")</f>
        <v>0</v>
      </c>
      <c r="CA255" s="387">
        <f>SUMIFS(CA2:CA206,G2:G206,"ADAN",E2:E206,"0461",F2:F206,"00")</f>
        <v>0</v>
      </c>
      <c r="CB255" s="387">
        <f>SUMIFS(CB2:CB206,G2:G206,"ADAN",E2:E206,"0461",F2:F206,"00")</f>
        <v>0</v>
      </c>
      <c r="CC255" s="387">
        <f>SUMIFS(CC2:CC206,G2:G206,"ADAN",E2:E206,"0461",F2:F206,"00")</f>
        <v>0</v>
      </c>
      <c r="CD255" s="387">
        <f>SUMIFS(CD2:CD206,G2:G206,"ADAN",E2:E206,"0461",F2:F206,"00")</f>
        <v>0</v>
      </c>
      <c r="CE255" s="387">
        <f>SUMIFS(CE2:CE206,G2:G206,"ADAN",E2:E206,"0461",F2:F206,"00")</f>
        <v>0</v>
      </c>
      <c r="CF255" s="387">
        <f>SUMIFS(CF2:CF206,G2:G206,"ADAN",E2:E206,"0461",F2:F206,"00")</f>
        <v>-165.06855399999998</v>
      </c>
      <c r="CG255" s="387">
        <f>SUMIFS(CG2:CG206,G2:G206,"ADAN",E2:E206,"0461",F2:F206,"00")</f>
        <v>0</v>
      </c>
      <c r="CH255" s="387">
        <f>SUMIFS(CH2:CH206,G2:G206,"ADAN",E2:E206,"0461",F2:F206,"00")</f>
        <v>0</v>
      </c>
      <c r="CI255" s="387">
        <f>SUMIFS(CI2:CI206,G2:G206,"ADAN",E2:E206,"0461",F2:F206,"00")</f>
        <v>0</v>
      </c>
      <c r="CJ255" s="387">
        <f>SUMIFS(CJ2:CJ206,G2:G206,"ADAN",E2:E206,"0461",F2:F206,"00")</f>
        <v>-165.06855399999998</v>
      </c>
      <c r="CK255" s="387">
        <f>SUMIFS(CK2:CK206,G2:G206,"ADAN",E2:E206,"0461",F2:F206,"00")</f>
        <v>0</v>
      </c>
      <c r="CL255" s="387">
        <f>SUMIFS(CL2:CL206,G2:G206,"ADAN",E2:E206,"0461",F2:F206,"00")</f>
        <v>0</v>
      </c>
      <c r="CM255" s="387">
        <f>SUMIFS(CM2:CM206,G2:G206,"ADAN",E2:E206,"0461",F2:F206,"00")</f>
        <v>0</v>
      </c>
    </row>
    <row r="256" spans="43:91" ht="18.75" x14ac:dyDescent="0.3">
      <c r="AQ256" s="393" t="s">
        <v>973</v>
      </c>
      <c r="AS256" s="394">
        <f t="shared" ref="AS256:CM256" si="196">SUM(AS255:AS255)</f>
        <v>0.73</v>
      </c>
      <c r="AT256" s="394">
        <f t="shared" si="196"/>
        <v>0</v>
      </c>
      <c r="AU256" s="394">
        <f t="shared" si="196"/>
        <v>5</v>
      </c>
      <c r="AV256" s="394">
        <f t="shared" si="196"/>
        <v>0</v>
      </c>
      <c r="AW256" s="394">
        <f t="shared" si="196"/>
        <v>27</v>
      </c>
      <c r="AX256" s="394">
        <f t="shared" si="196"/>
        <v>356595.14</v>
      </c>
      <c r="AY256" s="394">
        <f t="shared" si="196"/>
        <v>40300.82</v>
      </c>
      <c r="AZ256" s="394">
        <f t="shared" si="196"/>
        <v>0</v>
      </c>
      <c r="BA256" s="394">
        <f t="shared" si="196"/>
        <v>0</v>
      </c>
      <c r="BB256" s="394">
        <f t="shared" si="196"/>
        <v>8504.5</v>
      </c>
      <c r="BC256" s="394">
        <f t="shared" si="196"/>
        <v>0</v>
      </c>
      <c r="BD256" s="394">
        <f t="shared" si="196"/>
        <v>2498.6508400000002</v>
      </c>
      <c r="BE256" s="394">
        <f t="shared" si="196"/>
        <v>584.36189000000002</v>
      </c>
      <c r="BF256" s="394">
        <f t="shared" si="196"/>
        <v>4811.9179080000004</v>
      </c>
      <c r="BG256" s="394">
        <f t="shared" si="196"/>
        <v>290.5689122</v>
      </c>
      <c r="BH256" s="394">
        <f t="shared" si="196"/>
        <v>165.06855399999998</v>
      </c>
      <c r="BI256" s="394">
        <f t="shared" si="196"/>
        <v>103.08362759999999</v>
      </c>
      <c r="BJ256" s="394">
        <f t="shared" si="196"/>
        <v>560.18139799999994</v>
      </c>
      <c r="BK256" s="394">
        <f t="shared" si="196"/>
        <v>0</v>
      </c>
      <c r="BL256" s="394">
        <f t="shared" si="196"/>
        <v>9013.8331298000012</v>
      </c>
      <c r="BM256" s="394">
        <f t="shared" si="196"/>
        <v>0</v>
      </c>
      <c r="BN256" s="394">
        <f t="shared" si="196"/>
        <v>8504.5</v>
      </c>
      <c r="BO256" s="394">
        <f t="shared" si="196"/>
        <v>0</v>
      </c>
      <c r="BP256" s="394">
        <f t="shared" si="196"/>
        <v>2498.6508400000002</v>
      </c>
      <c r="BQ256" s="394">
        <f t="shared" si="196"/>
        <v>584.36189000000002</v>
      </c>
      <c r="BR256" s="394">
        <f t="shared" si="196"/>
        <v>4811.9179080000004</v>
      </c>
      <c r="BS256" s="394">
        <f t="shared" si="196"/>
        <v>290.5689122</v>
      </c>
      <c r="BT256" s="394">
        <f t="shared" si="196"/>
        <v>0</v>
      </c>
      <c r="BU256" s="394">
        <f t="shared" si="196"/>
        <v>103.08362759999999</v>
      </c>
      <c r="BV256" s="394">
        <f t="shared" si="196"/>
        <v>560.18139799999994</v>
      </c>
      <c r="BW256" s="394">
        <f t="shared" si="196"/>
        <v>0</v>
      </c>
      <c r="BX256" s="394">
        <f t="shared" si="196"/>
        <v>8848.7645757999999</v>
      </c>
      <c r="BY256" s="394">
        <f t="shared" si="196"/>
        <v>0</v>
      </c>
      <c r="BZ256" s="394">
        <f t="shared" si="196"/>
        <v>0</v>
      </c>
      <c r="CA256" s="394">
        <f t="shared" si="196"/>
        <v>0</v>
      </c>
      <c r="CB256" s="394">
        <f t="shared" si="196"/>
        <v>0</v>
      </c>
      <c r="CC256" s="394">
        <f t="shared" si="196"/>
        <v>0</v>
      </c>
      <c r="CD256" s="394">
        <f t="shared" si="196"/>
        <v>0</v>
      </c>
      <c r="CE256" s="394">
        <f t="shared" si="196"/>
        <v>0</v>
      </c>
      <c r="CF256" s="394">
        <f t="shared" si="196"/>
        <v>-165.06855399999998</v>
      </c>
      <c r="CG256" s="394">
        <f t="shared" si="196"/>
        <v>0</v>
      </c>
      <c r="CH256" s="394">
        <f t="shared" si="196"/>
        <v>0</v>
      </c>
      <c r="CI256" s="394">
        <f t="shared" si="196"/>
        <v>0</v>
      </c>
      <c r="CJ256" s="394">
        <f t="shared" si="196"/>
        <v>-165.06855399999998</v>
      </c>
      <c r="CK256" s="394">
        <f t="shared" si="196"/>
        <v>0</v>
      </c>
      <c r="CL256" s="394">
        <f t="shared" si="196"/>
        <v>0</v>
      </c>
      <c r="CM256" s="394">
        <f t="shared" si="196"/>
        <v>0</v>
      </c>
    </row>
    <row r="257" spans="41:91" ht="15.75" thickBot="1" x14ac:dyDescent="0.3">
      <c r="AR257" t="s">
        <v>975</v>
      </c>
      <c r="AS257" s="387">
        <f>SUMIFS(AS2:AS206,G2:G206,"ADAN",E2:E206,"0462",F2:F206,"00",AT2:AT206,1)</f>
        <v>0.48</v>
      </c>
      <c r="AT257" s="387">
        <f>SUMIFS(AS2:AS206,G2:G206,"ADAN",E2:E206,"0462",F2:F206,"00",AT2:AT206,3)</f>
        <v>0</v>
      </c>
      <c r="AU257" s="387">
        <f>SUMIFS(AU2:AU206,G2:G206,"ADAN",E2:E206,"0462",F2:F206,"00")</f>
        <v>5</v>
      </c>
      <c r="AV257" s="387">
        <f>SUMIFS(AV2:AV206,G2:G206,"ADAN",E2:E206,"0462",F2:F206,"00")</f>
        <v>0</v>
      </c>
      <c r="AW257" s="387">
        <f>SUMIFS(AW2:AW206,G2:G206,"ADAN",E2:E206,"0462",F2:F206,"00")</f>
        <v>24</v>
      </c>
      <c r="AX257" s="387">
        <f>SUMIFS(AX2:AX206,G2:G206,"ADAN",E2:E206,"0462",F2:F206,"00")</f>
        <v>349647.94999999995</v>
      </c>
      <c r="AY257" s="387">
        <f>SUMIFS(AY2:AY206,G2:G206,"ADAN",E2:E206,"0462",F2:F206,"00")</f>
        <v>34550.450000000004</v>
      </c>
      <c r="AZ257" s="387">
        <f>SUMIFS(AZ2:AZ206,G2:G206,"ADAN",E2:E206,"0462",F2:F206,"00")</f>
        <v>0</v>
      </c>
      <c r="BA257" s="387">
        <f>SUMIFS(BA2:BA206,G2:G206,"ADAN",E2:E206,"0462",F2:F206,"00")</f>
        <v>0</v>
      </c>
      <c r="BB257" s="387">
        <f>SUMIFS(BB2:BB206,G2:G206,"ADAN",E2:E206,"0462",F2:F206,"00")</f>
        <v>5592</v>
      </c>
      <c r="BC257" s="387">
        <f>SUMIFS(BC2:BC206,G2:G206,"ADAN",E2:E206,"0462",F2:F206,"00")</f>
        <v>0</v>
      </c>
      <c r="BD257" s="387">
        <f>SUMIFS(BD2:BD206,G2:G206,"ADAN",E2:E206,"0462",F2:F206,"00")</f>
        <v>2142.1279</v>
      </c>
      <c r="BE257" s="387">
        <f>SUMIFS(BE2:BE206,G2:G206,"ADAN",E2:E206,"0462",F2:F206,"00")</f>
        <v>500.98152500000003</v>
      </c>
      <c r="BF257" s="387">
        <f>SUMIFS(BF2:BF206,G2:G206,"ADAN",E2:E206,"0462",F2:F206,"00")</f>
        <v>4125.3237300000001</v>
      </c>
      <c r="BG257" s="387">
        <f>SUMIFS(BG2:BG206,G2:G206,"ADAN",E2:E206,"0462",F2:F206,"00")</f>
        <v>249.1087445</v>
      </c>
      <c r="BH257" s="387">
        <f>SUMIFS(BH2:BH206,G2:G206,"ADAN",E2:E206,"0462",F2:F206,"00")</f>
        <v>169.29720499999999</v>
      </c>
      <c r="BI257" s="387">
        <f>SUMIFS(BI2:BI206,G2:G206,"ADAN",E2:E206,"0462",F2:F206,"00")</f>
        <v>88.265730599999998</v>
      </c>
      <c r="BJ257" s="387">
        <f>SUMIFS(BJ2:BJ206,G2:G206,"ADAN",E2:E206,"0462",F2:F206,"00")</f>
        <v>480.25125499999996</v>
      </c>
      <c r="BK257" s="387">
        <f>SUMIFS(BK2:BK206,G2:G206,"ADAN",E2:E206,"0462",F2:F206,"00")</f>
        <v>0</v>
      </c>
      <c r="BL257" s="387">
        <f>SUMIFS(BL2:BL206,G2:G206,"ADAN",E2:E206,"0462",F2:F206,"00")</f>
        <v>7755.3560901000001</v>
      </c>
      <c r="BM257" s="387">
        <f>SUMIFS(BM2:BM206,G2:G206,"ADAN",E2:E206,"0462",F2:F206,"00")</f>
        <v>0</v>
      </c>
      <c r="BN257" s="387">
        <f>SUMIFS(BN2:BN206,G2:G206,"ADAN",E2:E206,"0462",F2:F206,"00")</f>
        <v>5592</v>
      </c>
      <c r="BO257" s="387">
        <f>SUMIFS(BO2:BO206,G2:G206,"ADAN",E2:E206,"0462",F2:F206,"00")</f>
        <v>0</v>
      </c>
      <c r="BP257" s="387">
        <f>SUMIFS(BP2:BP206,G2:G206,"ADAN",E2:E206,"0462",F2:F206,"00")</f>
        <v>2142.1279</v>
      </c>
      <c r="BQ257" s="387">
        <f>SUMIFS(BQ2:BQ206,G2:G206,"ADAN",E2:E206,"0462",F2:F206,"00")</f>
        <v>500.98152500000003</v>
      </c>
      <c r="BR257" s="387">
        <f>SUMIFS(BR2:BR206,G2:G206,"ADAN",E2:E206,"0462",F2:F206,"00")</f>
        <v>4125.3237300000001</v>
      </c>
      <c r="BS257" s="387">
        <f>SUMIFS(BS2:BS206,G2:G206,"ADAN",E2:E206,"0462",F2:F206,"00")</f>
        <v>249.1087445</v>
      </c>
      <c r="BT257" s="387">
        <f>SUMIFS(BT2:BT206,G2:G206,"ADAN",E2:E206,"0462",F2:F206,"00")</f>
        <v>0</v>
      </c>
      <c r="BU257" s="387">
        <f>SUMIFS(BU2:BU206,G2:G206,"ADAN",E2:E206,"0462",F2:F206,"00")</f>
        <v>88.265730599999998</v>
      </c>
      <c r="BV257" s="387">
        <f>SUMIFS(BV2:BV206,G2:G206,"ADAN",E2:E206,"0462",F2:F206,"00")</f>
        <v>480.25125499999996</v>
      </c>
      <c r="BW257" s="387">
        <f>SUMIFS(BW2:BW206,G2:G206,"ADAN",E2:E206,"0462",F2:F206,"00")</f>
        <v>0</v>
      </c>
      <c r="BX257" s="387">
        <f>SUMIFS(BX2:BX206,G2:G206,"ADAN",E2:E206,"0462",F2:F206,"00")</f>
        <v>7586.0588850999993</v>
      </c>
      <c r="BY257" s="387">
        <f>SUMIFS(BY2:BY206,G2:G206,"ADAN",E2:E206,"0462",F2:F206,"00")</f>
        <v>0</v>
      </c>
      <c r="BZ257" s="387">
        <f>SUMIFS(BZ2:BZ206,G2:G206,"ADAN",E2:E206,"0462",F2:F206,"00")</f>
        <v>0</v>
      </c>
      <c r="CA257" s="387">
        <f>SUMIFS(CA2:CA206,G2:G206,"ADAN",E2:E206,"0462",F2:F206,"00")</f>
        <v>0</v>
      </c>
      <c r="CB257" s="387">
        <f>SUMIFS(CB2:CB206,G2:G206,"ADAN",E2:E206,"0462",F2:F206,"00")</f>
        <v>0</v>
      </c>
      <c r="CC257" s="387">
        <f>SUMIFS(CC2:CC206,G2:G206,"ADAN",E2:E206,"0462",F2:F206,"00")</f>
        <v>0</v>
      </c>
      <c r="CD257" s="387">
        <f>SUMIFS(CD2:CD206,G2:G206,"ADAN",E2:E206,"0462",F2:F206,"00")</f>
        <v>0</v>
      </c>
      <c r="CE257" s="387">
        <f>SUMIFS(CE2:CE206,G2:G206,"ADAN",E2:E206,"0462",F2:F206,"00")</f>
        <v>0</v>
      </c>
      <c r="CF257" s="387">
        <f>SUMIFS(CF2:CF206,G2:G206,"ADAN",E2:E206,"0462",F2:F206,"00")</f>
        <v>-169.29720499999999</v>
      </c>
      <c r="CG257" s="387">
        <f>SUMIFS(CG2:CG206,G2:G206,"ADAN",E2:E206,"0462",F2:F206,"00")</f>
        <v>0</v>
      </c>
      <c r="CH257" s="387">
        <f>SUMIFS(CH2:CH206,G2:G206,"ADAN",E2:E206,"0462",F2:F206,"00")</f>
        <v>0</v>
      </c>
      <c r="CI257" s="387">
        <f>SUMIFS(CI2:CI206,G2:G206,"ADAN",E2:E206,"0462",F2:F206,"00")</f>
        <v>0</v>
      </c>
      <c r="CJ257" s="387">
        <f>SUMIFS(CJ2:CJ206,G2:G206,"ADAN",E2:E206,"0462",F2:F206,"00")</f>
        <v>-169.29720499999999</v>
      </c>
      <c r="CK257" s="387">
        <f>SUMIFS(CK2:CK206,G2:G206,"ADAN",E2:E206,"0462",F2:F206,"00")</f>
        <v>0</v>
      </c>
      <c r="CL257" s="387">
        <f>SUMIFS(CL2:CL206,G2:G206,"ADAN",E2:E206,"0462",F2:F206,"00")</f>
        <v>0</v>
      </c>
      <c r="CM257" s="387">
        <f>SUMIFS(CM2:CM206,G2:G206,"ADAN",E2:E206,"0462",F2:F206,"00")</f>
        <v>0</v>
      </c>
    </row>
    <row r="258" spans="41:91" ht="18.75" x14ac:dyDescent="0.3">
      <c r="AQ258" s="393" t="s">
        <v>976</v>
      </c>
      <c r="AS258" s="394">
        <f t="shared" ref="AS258:CM258" si="197">SUM(AS257:AS257)</f>
        <v>0.48</v>
      </c>
      <c r="AT258" s="394">
        <f t="shared" si="197"/>
        <v>0</v>
      </c>
      <c r="AU258" s="394">
        <f t="shared" si="197"/>
        <v>5</v>
      </c>
      <c r="AV258" s="394">
        <f t="shared" si="197"/>
        <v>0</v>
      </c>
      <c r="AW258" s="394">
        <f t="shared" si="197"/>
        <v>24</v>
      </c>
      <c r="AX258" s="394">
        <f t="shared" si="197"/>
        <v>349647.94999999995</v>
      </c>
      <c r="AY258" s="394">
        <f t="shared" si="197"/>
        <v>34550.450000000004</v>
      </c>
      <c r="AZ258" s="394">
        <f t="shared" si="197"/>
        <v>0</v>
      </c>
      <c r="BA258" s="394">
        <f t="shared" si="197"/>
        <v>0</v>
      </c>
      <c r="BB258" s="394">
        <f t="shared" si="197"/>
        <v>5592</v>
      </c>
      <c r="BC258" s="394">
        <f t="shared" si="197"/>
        <v>0</v>
      </c>
      <c r="BD258" s="394">
        <f t="shared" si="197"/>
        <v>2142.1279</v>
      </c>
      <c r="BE258" s="394">
        <f t="shared" si="197"/>
        <v>500.98152500000003</v>
      </c>
      <c r="BF258" s="394">
        <f t="shared" si="197"/>
        <v>4125.3237300000001</v>
      </c>
      <c r="BG258" s="394">
        <f t="shared" si="197"/>
        <v>249.1087445</v>
      </c>
      <c r="BH258" s="394">
        <f t="shared" si="197"/>
        <v>169.29720499999999</v>
      </c>
      <c r="BI258" s="394">
        <f t="shared" si="197"/>
        <v>88.265730599999998</v>
      </c>
      <c r="BJ258" s="394">
        <f t="shared" si="197"/>
        <v>480.25125499999996</v>
      </c>
      <c r="BK258" s="394">
        <f t="shared" si="197"/>
        <v>0</v>
      </c>
      <c r="BL258" s="394">
        <f t="shared" si="197"/>
        <v>7755.3560901000001</v>
      </c>
      <c r="BM258" s="394">
        <f t="shared" si="197"/>
        <v>0</v>
      </c>
      <c r="BN258" s="394">
        <f t="shared" si="197"/>
        <v>5592</v>
      </c>
      <c r="BO258" s="394">
        <f t="shared" si="197"/>
        <v>0</v>
      </c>
      <c r="BP258" s="394">
        <f t="shared" si="197"/>
        <v>2142.1279</v>
      </c>
      <c r="BQ258" s="394">
        <f t="shared" si="197"/>
        <v>500.98152500000003</v>
      </c>
      <c r="BR258" s="394">
        <f t="shared" si="197"/>
        <v>4125.3237300000001</v>
      </c>
      <c r="BS258" s="394">
        <f t="shared" si="197"/>
        <v>249.1087445</v>
      </c>
      <c r="BT258" s="394">
        <f t="shared" si="197"/>
        <v>0</v>
      </c>
      <c r="BU258" s="394">
        <f t="shared" si="197"/>
        <v>88.265730599999998</v>
      </c>
      <c r="BV258" s="394">
        <f t="shared" si="197"/>
        <v>480.25125499999996</v>
      </c>
      <c r="BW258" s="394">
        <f t="shared" si="197"/>
        <v>0</v>
      </c>
      <c r="BX258" s="394">
        <f t="shared" si="197"/>
        <v>7586.0588850999993</v>
      </c>
      <c r="BY258" s="394">
        <f t="shared" si="197"/>
        <v>0</v>
      </c>
      <c r="BZ258" s="394">
        <f t="shared" si="197"/>
        <v>0</v>
      </c>
      <c r="CA258" s="394">
        <f t="shared" si="197"/>
        <v>0</v>
      </c>
      <c r="CB258" s="394">
        <f t="shared" si="197"/>
        <v>0</v>
      </c>
      <c r="CC258" s="394">
        <f t="shared" si="197"/>
        <v>0</v>
      </c>
      <c r="CD258" s="394">
        <f t="shared" si="197"/>
        <v>0</v>
      </c>
      <c r="CE258" s="394">
        <f t="shared" si="197"/>
        <v>0</v>
      </c>
      <c r="CF258" s="394">
        <f t="shared" si="197"/>
        <v>-169.29720499999999</v>
      </c>
      <c r="CG258" s="394">
        <f t="shared" si="197"/>
        <v>0</v>
      </c>
      <c r="CH258" s="394">
        <f t="shared" si="197"/>
        <v>0</v>
      </c>
      <c r="CI258" s="394">
        <f t="shared" si="197"/>
        <v>0</v>
      </c>
      <c r="CJ258" s="394">
        <f t="shared" si="197"/>
        <v>-169.29720499999999</v>
      </c>
      <c r="CK258" s="394">
        <f t="shared" si="197"/>
        <v>0</v>
      </c>
      <c r="CL258" s="394">
        <f t="shared" si="197"/>
        <v>0</v>
      </c>
      <c r="CM258" s="394">
        <f t="shared" si="197"/>
        <v>0</v>
      </c>
    </row>
    <row r="259" spans="41:91" x14ac:dyDescent="0.25">
      <c r="BB259" s="387"/>
      <c r="BC259" s="387"/>
      <c r="BD259" s="387"/>
      <c r="BE259" s="387"/>
      <c r="BF259" s="387"/>
      <c r="BG259" s="387"/>
      <c r="BH259" s="387"/>
      <c r="BI259" s="387"/>
      <c r="BJ259" s="387"/>
      <c r="BK259" s="387"/>
      <c r="BL259" s="387"/>
      <c r="BM259" s="387"/>
      <c r="BN259" s="387"/>
      <c r="BO259" s="387"/>
      <c r="BP259" s="387"/>
      <c r="BQ259" s="387"/>
      <c r="BR259" s="387"/>
      <c r="BS259" s="387"/>
      <c r="BT259" s="387"/>
      <c r="BU259" s="387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  <c r="CF259" s="387"/>
      <c r="CG259" s="387"/>
      <c r="CH259" s="387"/>
      <c r="CI259" s="387"/>
      <c r="CJ259" s="387"/>
      <c r="CK259" s="387"/>
      <c r="CL259" s="387"/>
      <c r="CM259" s="387"/>
    </row>
    <row r="260" spans="41:91" ht="21" x14ac:dyDescent="0.35">
      <c r="AO260" s="251" t="s">
        <v>97</v>
      </c>
      <c r="AP260" s="251"/>
      <c r="AQ260" s="251"/>
    </row>
    <row r="262" spans="41:91" ht="21" x14ac:dyDescent="0.35">
      <c r="AO262" s="252"/>
      <c r="AP262" s="252"/>
      <c r="AQ262" s="252"/>
    </row>
    <row r="263" spans="41:91" ht="15.75" x14ac:dyDescent="0.25">
      <c r="AS263" s="373" t="s">
        <v>83</v>
      </c>
      <c r="AT263" s="475" t="s">
        <v>981</v>
      </c>
      <c r="AU263" s="475"/>
      <c r="AV263" s="476" t="s">
        <v>979</v>
      </c>
      <c r="AW263" s="475" t="s">
        <v>982</v>
      </c>
      <c r="AX263" s="475"/>
      <c r="AY263" s="476" t="s">
        <v>980</v>
      </c>
      <c r="AZ263" s="475" t="s">
        <v>983</v>
      </c>
      <c r="BA263" s="475"/>
    </row>
    <row r="264" spans="41:91" ht="15.75" x14ac:dyDescent="0.25">
      <c r="AS264" s="249"/>
      <c r="AT264" s="373" t="s">
        <v>94</v>
      </c>
      <c r="AU264" s="372" t="s">
        <v>96</v>
      </c>
      <c r="AV264" s="477"/>
      <c r="AW264" s="373" t="s">
        <v>98</v>
      </c>
      <c r="AX264" s="372" t="s">
        <v>95</v>
      </c>
      <c r="AY264" s="477"/>
      <c r="AZ264" s="373" t="s">
        <v>98</v>
      </c>
      <c r="BA264" s="372" t="s">
        <v>95</v>
      </c>
    </row>
    <row r="265" spans="41:91" x14ac:dyDescent="0.25">
      <c r="AO265" s="392" t="s">
        <v>984</v>
      </c>
    </row>
    <row r="266" spans="41:91" x14ac:dyDescent="0.25">
      <c r="AQ266" t="s">
        <v>889</v>
      </c>
      <c r="AS266" s="387">
        <f>SUM(SUMIFS(AS2:AS206,CN2:CN206,AQ266,E2:E206,"0001",F2:F206,"00",AT2:AT206,{1,3}))</f>
        <v>12.419999999999998</v>
      </c>
      <c r="AT266" s="387">
        <f>SUMPRODUCT(--(CN2:CN206=AQ266),--(N2:N206&lt;&gt;"NG"),--(AG2:AG206&lt;&gt;"D"),--(AR2:AR206&lt;&gt;6),--(AR2:AR206&lt;&gt;36),--(AR2:AR206&lt;&gt;56),T2:T206)+SUMPRODUCT(--(CN2:CN206=AQ266),--(N2:N206&lt;&gt;"NG"),--(AG2:AG206&lt;&gt;"D"),--(AR2:AR206&lt;&gt;6),--(AR2:AR206&lt;&gt;36),--(AR2:AR206&lt;&gt;56),U2:U206)</f>
        <v>478819.66</v>
      </c>
      <c r="AU266" s="387">
        <f>SUMPRODUCT(--(CN2:CN206=AQ266),--(N2:N206&lt;&gt;"NG"),--(AG2:AG206&lt;&gt;"D"),--(AR2:AR206&lt;&gt;6),--(AR2:AR206&lt;&gt;36),--(AR2:AR206&lt;&gt;56),V2:V206)</f>
        <v>259584.8</v>
      </c>
      <c r="AV266" s="387">
        <f>SUMPRODUCT(--(CN2:CN206=AQ266),AY2:AY206)+SUMPRODUCT(--(CN2:CN206=AQ266),AZ2:AZ206)</f>
        <v>489753.22000000009</v>
      </c>
      <c r="AW266" s="387">
        <f>SUMPRODUCT(--(CN2:CN206=AQ266),BB2:BB206)+SUMPRODUCT(--(CN2:CN206=AQ266),BC2:BC206)</f>
        <v>144693</v>
      </c>
      <c r="AX266" s="387">
        <f>SUMPRODUCT(--(CN2:CN206=AQ266),BL2:BL206)+SUMPRODUCT(--(CN2:CN206=AQ266),BM2:BM206)</f>
        <v>109846.73558980001</v>
      </c>
      <c r="AY266" s="387">
        <f>SUMPRODUCT(--(CN2:CN206=AQ266),AY2:AY206)+SUMPRODUCT(--(CN2:CN206=AQ266),AZ2:AZ206)+SUMPRODUCT(--(CN2:CN206=AQ266),BA2:BA206)</f>
        <v>489753.22000000009</v>
      </c>
      <c r="AZ266" s="387">
        <f>SUMPRODUCT(--(CN2:CN206=AQ266),BN2:BN206)+SUMPRODUCT(--(CN2:CN206=AQ266),BO2:BO206)</f>
        <v>144693</v>
      </c>
      <c r="BA266" s="387">
        <f>SUMPRODUCT(--(CN2:CN206=AQ266),BX2:BX206)+SUMPRODUCT(--(CN2:CN206=AQ266),BY2:BY206)</f>
        <v>107608.97213179999</v>
      </c>
    </row>
    <row r="267" spans="41:91" x14ac:dyDescent="0.25">
      <c r="AP267" t="s">
        <v>985</v>
      </c>
      <c r="AS267" s="398">
        <f t="shared" ref="AS267:BA267" si="198">SUM(AS266:AS266)</f>
        <v>12.419999999999998</v>
      </c>
      <c r="AT267" s="398">
        <f t="shared" si="198"/>
        <v>478819.66</v>
      </c>
      <c r="AU267" s="398">
        <f t="shared" si="198"/>
        <v>259584.8</v>
      </c>
      <c r="AV267" s="398">
        <f t="shared" si="198"/>
        <v>489753.22000000009</v>
      </c>
      <c r="AW267" s="398">
        <f t="shared" si="198"/>
        <v>144693</v>
      </c>
      <c r="AX267" s="398">
        <f t="shared" si="198"/>
        <v>109846.73558980001</v>
      </c>
      <c r="AY267" s="398">
        <f t="shared" si="198"/>
        <v>489753.22000000009</v>
      </c>
      <c r="AZ267" s="398">
        <f t="shared" si="198"/>
        <v>144693</v>
      </c>
      <c r="BA267" s="398">
        <f t="shared" si="198"/>
        <v>107608.97213179999</v>
      </c>
    </row>
    <row r="268" spans="41:91" x14ac:dyDescent="0.25">
      <c r="AQ268" t="s">
        <v>895</v>
      </c>
      <c r="AS268" s="387">
        <f>SUM(SUMIFS(AS2:AS206,CN2:CN206,AQ268,E2:E206,"0365",F2:F206,"00",AT2:AT206,{1,3}))</f>
        <v>25.84</v>
      </c>
      <c r="AT268" s="387">
        <f>SUMPRODUCT(--(CN2:CN206=AQ268),--(N2:N206&lt;&gt;"NG"),--(AG2:AG206&lt;&gt;"D"),--(AR2:AR206&lt;&gt;6),--(AR2:AR206&lt;&gt;36),--(AR2:AR206&lt;&gt;56),T2:T206)+SUMPRODUCT(--(CN2:CN206=AQ268),--(N2:N206&lt;&gt;"NG"),--(AG2:AG206&lt;&gt;"D"),--(AR2:AR206&lt;&gt;6),--(AR2:AR206&lt;&gt;36),--(AR2:AR206&lt;&gt;56),U2:U206)</f>
        <v>1519591.68</v>
      </c>
      <c r="AU268" s="387">
        <f>SUMPRODUCT(--(CN2:CN206=AQ268),--(N2:N206&lt;&gt;"NG"),--(AG2:AG206&lt;&gt;"D"),--(AR2:AR206&lt;&gt;6),--(AR2:AR206&lt;&gt;36),--(AR2:AR206&lt;&gt;56),V2:V206)</f>
        <v>612282.31000000006</v>
      </c>
      <c r="AV268" s="387">
        <f>SUMPRODUCT(--(CN2:CN206=AQ268),AY2:AY206)+SUMPRODUCT(--(CN2:CN206=AQ268),AZ2:AZ206)</f>
        <v>1568205.8</v>
      </c>
      <c r="AW268" s="387">
        <f>SUMPRODUCT(--(CN2:CN206=AQ268),BB2:BB206)+SUMPRODUCT(--(CN2:CN206=AQ268),BC2:BC206)</f>
        <v>301036</v>
      </c>
      <c r="AX268" s="387">
        <f>SUMPRODUCT(--(CN2:CN206=AQ268),BL2:BL206)+SUMPRODUCT(--(CN2:CN206=AQ268),BM2:BM206)</f>
        <v>352546.23877280008</v>
      </c>
      <c r="AY268" s="387">
        <f>SUMPRODUCT(--(CN2:CN206=AQ268),AY2:AY206)+SUMPRODUCT(--(CN2:CN206=AQ268),AZ2:AZ206)+SUMPRODUCT(--(CN2:CN206=AQ268),BA2:BA206)</f>
        <v>1568205.8</v>
      </c>
      <c r="AZ268" s="387">
        <f>SUMPRODUCT(--(CN2:CN206=AQ268),BN2:BN206)+SUMPRODUCT(--(CN2:CN206=AQ268),BO2:BO206)</f>
        <v>301036</v>
      </c>
      <c r="BA268" s="387">
        <f>SUMPRODUCT(--(CN2:CN206=AQ268),BX2:BX206)+SUMPRODUCT(--(CN2:CN206=AQ268),BY2:BY206)</f>
        <v>344900.91689980001</v>
      </c>
    </row>
    <row r="269" spans="41:91" x14ac:dyDescent="0.25">
      <c r="AP269" t="s">
        <v>986</v>
      </c>
      <c r="AS269" s="398">
        <f t="shared" ref="AS269:BA269" si="199">SUM(AS268:AS268)</f>
        <v>25.84</v>
      </c>
      <c r="AT269" s="398">
        <f t="shared" si="199"/>
        <v>1519591.68</v>
      </c>
      <c r="AU269" s="398">
        <f t="shared" si="199"/>
        <v>612282.31000000006</v>
      </c>
      <c r="AV269" s="398">
        <f t="shared" si="199"/>
        <v>1568205.8</v>
      </c>
      <c r="AW269" s="398">
        <f t="shared" si="199"/>
        <v>301036</v>
      </c>
      <c r="AX269" s="398">
        <f t="shared" si="199"/>
        <v>352546.23877280008</v>
      </c>
      <c r="AY269" s="398">
        <f t="shared" si="199"/>
        <v>1568205.8</v>
      </c>
      <c r="AZ269" s="398">
        <f t="shared" si="199"/>
        <v>301036</v>
      </c>
      <c r="BA269" s="398">
        <f t="shared" si="199"/>
        <v>344900.91689980001</v>
      </c>
    </row>
    <row r="270" spans="41:91" x14ac:dyDescent="0.25">
      <c r="AQ270" t="s">
        <v>987</v>
      </c>
      <c r="AS270" s="387">
        <f>SUM(SUMIFS(AS2:AS206,CN2:CN206,AQ270,E2:E206,"0450",F2:F206,"14",AT2:AT206,{1,3}))</f>
        <v>4.7</v>
      </c>
      <c r="AT270" s="387">
        <f>SUMPRODUCT(--(CN2:CN206=AQ270),--(N2:N206&lt;&gt;"NG"),--(AG2:AG206&lt;&gt;"D"),--(AR2:AR206&lt;&gt;6),--(AR2:AR206&lt;&gt;36),--(AR2:AR206&lt;&gt;56),T2:T206)+SUMPRODUCT(--(CN2:CN206=AQ270),--(N2:N206&lt;&gt;"NG"),--(AG2:AG206&lt;&gt;"D"),--(AR2:AR206&lt;&gt;6),--(AR2:AR206&lt;&gt;36),--(AR2:AR206&lt;&gt;56),U2:U206)</f>
        <v>336927.14</v>
      </c>
      <c r="AU270" s="387">
        <f>SUMPRODUCT(--(CN2:CN206=AQ270),--(N2:N206&lt;&gt;"NG"),--(AG2:AG206&lt;&gt;"D"),--(AR2:AR206&lt;&gt;6),--(AR2:AR206&lt;&gt;36),--(AR2:AR206&lt;&gt;56),V2:V206)</f>
        <v>121074.57999999999</v>
      </c>
      <c r="AV270" s="387">
        <f>SUMPRODUCT(--(CN2:CN206=AQ270),AY2:AY206)+SUMPRODUCT(--(CN2:CN206=AQ270),AZ2:AZ206)</f>
        <v>331659.73999999993</v>
      </c>
      <c r="AW270" s="387">
        <f>SUMPRODUCT(--(CN2:CN206=AQ270),BB2:BB206)+SUMPRODUCT(--(CN2:CN206=AQ270),BC2:BC206)</f>
        <v>54755</v>
      </c>
      <c r="AX270" s="387">
        <f>SUMPRODUCT(--(CN2:CN206=AQ270),BL2:BL206)+SUMPRODUCT(--(CN2:CN206=AQ270),BM2:BM206)</f>
        <v>73884.761094600006</v>
      </c>
      <c r="AY270" s="387">
        <f>SUMPRODUCT(--(CN2:CN206=AQ270),AY2:AY206)+SUMPRODUCT(--(CN2:CN206=AQ270),AZ2:AZ206)+SUMPRODUCT(--(CN2:CN206=AQ270),BA2:BA206)</f>
        <v>331659.73999999993</v>
      </c>
      <c r="AZ270" s="387">
        <f>SUMPRODUCT(--(CN2:CN206=AQ270),BN2:BN206)+SUMPRODUCT(--(CN2:CN206=AQ270),BO2:BO206)</f>
        <v>54755</v>
      </c>
      <c r="BA270" s="387">
        <f>SUMPRODUCT(--(CN2:CN206=AQ270),BX2:BX206)+SUMPRODUCT(--(CN2:CN206=AQ270),BY2:BY206)</f>
        <v>72557.758627600007</v>
      </c>
    </row>
    <row r="271" spans="41:91" x14ac:dyDescent="0.25">
      <c r="AQ271" t="s">
        <v>988</v>
      </c>
      <c r="AS271" s="387">
        <f>SUM(SUMIFS(AS2:AS206,CN2:CN206,AQ271,E2:E206,"0450",F2:F206,"26",AT2:AT206,{1,3}))</f>
        <v>34.200000000000003</v>
      </c>
      <c r="AT271" s="387">
        <f>SUMPRODUCT(--(CN2:CN206=AQ271),--(N2:N206&lt;&gt;"NG"),--(AG2:AG206&lt;&gt;"D"),--(AR2:AR206&lt;&gt;6),--(AR2:AR206&lt;&gt;36),--(AR2:AR206&lt;&gt;56),T2:T206)+SUMPRODUCT(--(CN2:CN206=AQ271),--(N2:N206&lt;&gt;"NG"),--(AG2:AG206&lt;&gt;"D"),--(AR2:AR206&lt;&gt;6),--(AR2:AR206&lt;&gt;36),--(AR2:AR206&lt;&gt;56),U2:U206)</f>
        <v>1532515.15</v>
      </c>
      <c r="AU271" s="387">
        <f>SUMPRODUCT(--(CN2:CN206=AQ271),--(N2:N206&lt;&gt;"NG"),--(AG2:AG206&lt;&gt;"D"),--(AR2:AR206&lt;&gt;6),--(AR2:AR206&lt;&gt;36),--(AR2:AR206&lt;&gt;56),V2:V206)</f>
        <v>708969.99000000011</v>
      </c>
      <c r="AV271" s="387">
        <f>SUMPRODUCT(--(CN2:CN206=AQ271),AY2:AY206)+SUMPRODUCT(--(CN2:CN206=AQ271),AZ2:AZ206)</f>
        <v>1688633.4399999997</v>
      </c>
      <c r="AW271" s="387">
        <f>SUMPRODUCT(--(CN2:CN206=AQ271),BB2:BB206)+SUMPRODUCT(--(CN2:CN206=AQ271),BC2:BC206)</f>
        <v>398430</v>
      </c>
      <c r="AX271" s="387">
        <f>SUMPRODUCT(--(CN2:CN206=AQ271),BL2:BL206)+SUMPRODUCT(--(CN2:CN206=AQ271),BM2:BM206)</f>
        <v>379421.60174880002</v>
      </c>
      <c r="AY271" s="387">
        <f>SUMPRODUCT(--(CN2:CN206=AQ271),AY2:AY206)+SUMPRODUCT(--(CN2:CN206=AQ271),AZ2:AZ206)+SUMPRODUCT(--(CN2:CN206=AQ271),BA2:BA206)</f>
        <v>1688633.4399999997</v>
      </c>
      <c r="AZ271" s="387">
        <f>SUMPRODUCT(--(CN2:CN206=AQ271),BN2:BN206)+SUMPRODUCT(--(CN2:CN206=AQ271),BO2:BO206)</f>
        <v>398430</v>
      </c>
      <c r="BA271" s="387">
        <f>SUMPRODUCT(--(CN2:CN206=AQ271),BX2:BX206)+SUMPRODUCT(--(CN2:CN206=AQ271),BY2:BY206)</f>
        <v>371147.29789280001</v>
      </c>
    </row>
    <row r="272" spans="41:91" x14ac:dyDescent="0.25">
      <c r="AQ272" t="s">
        <v>989</v>
      </c>
      <c r="AS272" s="387">
        <f>SUM(SUMIFS(AS2:AS206,CN2:CN206,AQ272,E2:E206,"0450",F2:F206,"27",AT2:AT206,{1,3}))</f>
        <v>13</v>
      </c>
      <c r="AT272" s="387">
        <f>SUMPRODUCT(--(CN2:CN206=AQ272),--(N2:N206&lt;&gt;"NG"),--(AG2:AG206&lt;&gt;"D"),--(AR2:AR206&lt;&gt;6),--(AR2:AR206&lt;&gt;36),--(AR2:AR206&lt;&gt;56),T2:T206)+SUMPRODUCT(--(CN2:CN206=AQ272),--(N2:N206&lt;&gt;"NG"),--(AG2:AG206&lt;&gt;"D"),--(AR2:AR206&lt;&gt;6),--(AR2:AR206&lt;&gt;36),--(AR2:AR206&lt;&gt;56),U2:U206)</f>
        <v>874306.35000000009</v>
      </c>
      <c r="AU272" s="387">
        <f>SUMPRODUCT(--(CN2:CN206=AQ272),--(N2:N206&lt;&gt;"NG"),--(AG2:AG206&lt;&gt;"D"),--(AR2:AR206&lt;&gt;6),--(AR2:AR206&lt;&gt;36),--(AR2:AR206&lt;&gt;56),V2:V206)</f>
        <v>355281.38</v>
      </c>
      <c r="AV272" s="387">
        <f>SUMPRODUCT(--(CN2:CN206=AQ272),AY2:AY206)+SUMPRODUCT(--(CN2:CN206=AQ272),AZ2:AZ206)</f>
        <v>810555.19999999984</v>
      </c>
      <c r="AW272" s="387">
        <f>SUMPRODUCT(--(CN2:CN206=AQ272),BB2:BB206)+SUMPRODUCT(--(CN2:CN206=AQ272),BC2:BC206)</f>
        <v>151450</v>
      </c>
      <c r="AX272" s="387">
        <f>SUMPRODUCT(--(CN2:CN206=AQ272),BL2:BL206)+SUMPRODUCT(--(CN2:CN206=AQ272),BM2:BM206)</f>
        <v>182044.45646400005</v>
      </c>
      <c r="AY272" s="387">
        <f>SUMPRODUCT(--(CN2:CN206=AQ272),AY2:AY206)+SUMPRODUCT(--(CN2:CN206=AQ272),AZ2:AZ206)+SUMPRODUCT(--(CN2:CN206=AQ272),BA2:BA206)</f>
        <v>810555.19999999984</v>
      </c>
      <c r="AZ272" s="387">
        <f>SUMPRODUCT(--(CN2:CN206=AQ272),BN2:BN206)+SUMPRODUCT(--(CN2:CN206=AQ272),BO2:BO206)</f>
        <v>151450</v>
      </c>
      <c r="BA272" s="387">
        <f>SUMPRODUCT(--(CN2:CN206=AQ272),BX2:BX206)+SUMPRODUCT(--(CN2:CN206=AQ272),BY2:BY206)</f>
        <v>178072.73598400003</v>
      </c>
    </row>
    <row r="273" spans="41:53" x14ac:dyDescent="0.25">
      <c r="AQ273" t="s">
        <v>990</v>
      </c>
      <c r="AS273" s="387">
        <f>SUM(SUMIFS(AS2:AS206,CN2:CN206,AQ273,E2:E206,"0450",F2:F206,"51",AT2:AT206,{1,3}))</f>
        <v>5.080000000000001</v>
      </c>
      <c r="AT273" s="387">
        <f>SUMPRODUCT(--(CN2:CN206=AQ273),--(N2:N206&lt;&gt;"NG"),--(AG2:AG206&lt;&gt;"D"),--(AR2:AR206&lt;&gt;6),--(AR2:AR206&lt;&gt;36),--(AR2:AR206&lt;&gt;56),T2:T206)+SUMPRODUCT(--(CN2:CN206=AQ273),--(N2:N206&lt;&gt;"NG"),--(AG2:AG206&lt;&gt;"D"),--(AR2:AR206&lt;&gt;6),--(AR2:AR206&lt;&gt;36),--(AR2:AR206&lt;&gt;56),U2:U206)</f>
        <v>176296.2</v>
      </c>
      <c r="AU273" s="387">
        <f>SUMPRODUCT(--(CN2:CN206=AQ273),--(N2:N206&lt;&gt;"NG"),--(AG2:AG206&lt;&gt;"D"),--(AR2:AR206&lt;&gt;6),--(AR2:AR206&lt;&gt;36),--(AR2:AR206&lt;&gt;56),V2:V206)</f>
        <v>105448.45</v>
      </c>
      <c r="AV273" s="387">
        <f>SUMPRODUCT(--(CN2:CN206=AQ273),AY2:AY206)+SUMPRODUCT(--(CN2:CN206=AQ273),AZ2:AZ206)</f>
        <v>177114.44</v>
      </c>
      <c r="AW273" s="387">
        <f>SUMPRODUCT(--(CN2:CN206=AQ273),BB2:BB206)+SUMPRODUCT(--(CN2:CN206=AQ273),BC2:BC206)</f>
        <v>59182</v>
      </c>
      <c r="AX273" s="387">
        <f>SUMPRODUCT(--(CN2:CN206=AQ273),BL2:BL206)+SUMPRODUCT(--(CN2:CN206=AQ273),BM2:BM206)</f>
        <v>39845.435566800006</v>
      </c>
      <c r="AY273" s="387">
        <f>SUMPRODUCT(--(CN2:CN206=AQ273),AY2:AY206)+SUMPRODUCT(--(CN2:CN206=AQ273),AZ2:AZ206)+SUMPRODUCT(--(CN2:CN206=AQ273),BA2:BA206)</f>
        <v>177114.44</v>
      </c>
      <c r="AZ273" s="387">
        <f>SUMPRODUCT(--(CN2:CN206=AQ273),BN2:BN206)+SUMPRODUCT(--(CN2:CN206=AQ273),BO2:BO206)</f>
        <v>59182</v>
      </c>
      <c r="BA273" s="387">
        <f>SUMPRODUCT(--(CN2:CN206=AQ273),BX2:BX206)+SUMPRODUCT(--(CN2:CN206=AQ273),BY2:BY206)</f>
        <v>38977.574810800004</v>
      </c>
    </row>
    <row r="274" spans="41:53" x14ac:dyDescent="0.25">
      <c r="AP274" t="s">
        <v>991</v>
      </c>
      <c r="AS274" s="398">
        <f t="shared" ref="AS274:BA274" si="200">SUM(AS270:AS273)</f>
        <v>56.980000000000004</v>
      </c>
      <c r="AT274" s="398">
        <f t="shared" si="200"/>
        <v>2920044.8400000003</v>
      </c>
      <c r="AU274" s="398">
        <f t="shared" si="200"/>
        <v>1290774.4000000001</v>
      </c>
      <c r="AV274" s="398">
        <f t="shared" si="200"/>
        <v>3007962.8199999994</v>
      </c>
      <c r="AW274" s="398">
        <f t="shared" si="200"/>
        <v>663817</v>
      </c>
      <c r="AX274" s="398">
        <f t="shared" si="200"/>
        <v>675196.25487420009</v>
      </c>
      <c r="AY274" s="398">
        <f t="shared" si="200"/>
        <v>3007962.8199999994</v>
      </c>
      <c r="AZ274" s="398">
        <f t="shared" si="200"/>
        <v>663817</v>
      </c>
      <c r="BA274" s="398">
        <f t="shared" si="200"/>
        <v>660755.36731520004</v>
      </c>
    </row>
    <row r="275" spans="41:53" x14ac:dyDescent="0.25">
      <c r="AQ275" t="s">
        <v>930</v>
      </c>
      <c r="AS275" s="387">
        <f>SUM(SUMIFS(AS2:AS206,CN2:CN206,AQ275,E2:E206,"0456",F2:F206,"00",AT2:AT206,{1,3}))</f>
        <v>2.2000000000000002</v>
      </c>
      <c r="AT275" s="387">
        <f>SUMPRODUCT(--(CN2:CN206=AQ275),--(N2:N206&lt;&gt;"NG"),--(AG2:AG206&lt;&gt;"D"),--(AR2:AR206&lt;&gt;6),--(AR2:AR206&lt;&gt;36),--(AR2:AR206&lt;&gt;56),T2:T206)+SUMPRODUCT(--(CN2:CN206=AQ275),--(N2:N206&lt;&gt;"NG"),--(AG2:AG206&lt;&gt;"D"),--(AR2:AR206&lt;&gt;6),--(AR2:AR206&lt;&gt;36),--(AR2:AR206&lt;&gt;56),U2:U206)</f>
        <v>113453.18000000001</v>
      </c>
      <c r="AU275" s="387">
        <f>SUMPRODUCT(--(CN2:CN206=AQ275),--(N2:N206&lt;&gt;"NG"),--(AG2:AG206&lt;&gt;"D"),--(AR2:AR206&lt;&gt;6),--(AR2:AR206&lt;&gt;36),--(AR2:AR206&lt;&gt;56),V2:V206)</f>
        <v>60434.52</v>
      </c>
      <c r="AV275" s="387">
        <f>SUMPRODUCT(--(CN2:CN206=AQ275),AY2:AY206)+SUMPRODUCT(--(CN2:CN206=AQ275),AZ2:AZ206)</f>
        <v>94924.959999999992</v>
      </c>
      <c r="AW275" s="387">
        <f>SUMPRODUCT(--(CN2:CN206=AQ275),BB2:BB206)+SUMPRODUCT(--(CN2:CN206=AQ275),BC2:BC206)</f>
        <v>25630</v>
      </c>
      <c r="AX275" s="387">
        <f>SUMPRODUCT(--(CN2:CN206=AQ275),BL2:BL206)+SUMPRODUCT(--(CN2:CN206=AQ275),BM2:BM206)</f>
        <v>21355.268251199999</v>
      </c>
      <c r="AY275" s="387">
        <f>SUMPRODUCT(--(CN2:CN206=AQ275),AY2:AY206)+SUMPRODUCT(--(CN2:CN206=AQ275),AZ2:AZ206)+SUMPRODUCT(--(CN2:CN206=AQ275),BA2:BA206)</f>
        <v>94924.959999999992</v>
      </c>
      <c r="AZ275" s="387">
        <f>SUMPRODUCT(--(CN2:CN206=AQ275),BN2:BN206)+SUMPRODUCT(--(CN2:CN206=AQ275),BO2:BO206)</f>
        <v>25630</v>
      </c>
      <c r="BA275" s="387">
        <f>SUMPRODUCT(--(CN2:CN206=AQ275),BX2:BX206)+SUMPRODUCT(--(CN2:CN206=AQ275),BY2:BY206)</f>
        <v>20890.135947199997</v>
      </c>
    </row>
    <row r="276" spans="41:53" x14ac:dyDescent="0.25">
      <c r="AP276" t="s">
        <v>992</v>
      </c>
      <c r="AS276" s="398">
        <f t="shared" ref="AS276:BA276" si="201">SUM(AS275:AS275)</f>
        <v>2.2000000000000002</v>
      </c>
      <c r="AT276" s="398">
        <f t="shared" si="201"/>
        <v>113453.18000000001</v>
      </c>
      <c r="AU276" s="398">
        <f t="shared" si="201"/>
        <v>60434.52</v>
      </c>
      <c r="AV276" s="398">
        <f t="shared" si="201"/>
        <v>94924.959999999992</v>
      </c>
      <c r="AW276" s="398">
        <f t="shared" si="201"/>
        <v>25630</v>
      </c>
      <c r="AX276" s="398">
        <f t="shared" si="201"/>
        <v>21355.268251199999</v>
      </c>
      <c r="AY276" s="398">
        <f t="shared" si="201"/>
        <v>94924.959999999992</v>
      </c>
      <c r="AZ276" s="398">
        <f t="shared" si="201"/>
        <v>25630</v>
      </c>
      <c r="BA276" s="398">
        <f t="shared" si="201"/>
        <v>20890.135947199997</v>
      </c>
    </row>
    <row r="277" spans="41:53" x14ac:dyDescent="0.25">
      <c r="AQ277" t="s">
        <v>941</v>
      </c>
      <c r="AS277" s="387">
        <f>SUM(SUMIFS(AS2:AS206,CN2:CN206,AQ277,E2:E206,"0461",F2:F206,"00",AT2:AT206,{1,3}))</f>
        <v>0.73</v>
      </c>
      <c r="AT277" s="387">
        <f>SUMPRODUCT(--(CN2:CN206=AQ277),--(N2:N206&lt;&gt;"NG"),--(AG2:AG206&lt;&gt;"D"),--(AR2:AR206&lt;&gt;6),--(AR2:AR206&lt;&gt;36),--(AR2:AR206&lt;&gt;56),T2:T206)+SUMPRODUCT(--(CN2:CN206=AQ277),--(N2:N206&lt;&gt;"NG"),--(AG2:AG206&lt;&gt;"D"),--(AR2:AR206&lt;&gt;6),--(AR2:AR206&lt;&gt;36),--(AR2:AR206&lt;&gt;56),U2:U206)</f>
        <v>37224.11</v>
      </c>
      <c r="AU277" s="387">
        <f>SUMPRODUCT(--(CN2:CN206=AQ277),--(N2:N206&lt;&gt;"NG"),--(AG2:AG206&lt;&gt;"D"),--(AR2:AR206&lt;&gt;6),--(AR2:AR206&lt;&gt;36),--(AR2:AR206&lt;&gt;56),V2:V206)</f>
        <v>15233.08</v>
      </c>
      <c r="AV277" s="387">
        <f>SUMPRODUCT(--(CN2:CN206=AQ277),AY2:AY206)+SUMPRODUCT(--(CN2:CN206=AQ277),AZ2:AZ206)</f>
        <v>40300.82</v>
      </c>
      <c r="AW277" s="387">
        <f>SUMPRODUCT(--(CN2:CN206=AQ277),BB2:BB206)+SUMPRODUCT(--(CN2:CN206=AQ277),BC2:BC206)</f>
        <v>8504.5</v>
      </c>
      <c r="AX277" s="387">
        <f>SUMPRODUCT(--(CN2:CN206=AQ277),BL2:BL206)+SUMPRODUCT(--(CN2:CN206=AQ277),BM2:BM206)</f>
        <v>9013.8331298000012</v>
      </c>
      <c r="AY277" s="387">
        <f>SUMPRODUCT(--(CN2:CN206=AQ277),AY2:AY206)+SUMPRODUCT(--(CN2:CN206=AQ277),AZ2:AZ206)+SUMPRODUCT(--(CN2:CN206=AQ277),BA2:BA206)</f>
        <v>40300.82</v>
      </c>
      <c r="AZ277" s="387">
        <f>SUMPRODUCT(--(CN2:CN206=AQ277),BN2:BN206)+SUMPRODUCT(--(CN2:CN206=AQ277),BO2:BO206)</f>
        <v>8504.5</v>
      </c>
      <c r="BA277" s="387">
        <f>SUMPRODUCT(--(CN2:CN206=AQ277),BX2:BX206)+SUMPRODUCT(--(CN2:CN206=AQ277),BY2:BY206)</f>
        <v>8848.7645757999999</v>
      </c>
    </row>
    <row r="278" spans="41:53" x14ac:dyDescent="0.25">
      <c r="AQ278" t="s">
        <v>993</v>
      </c>
      <c r="AS278" s="387">
        <f>SUM(SUMIFS(AS2:AS206,CN2:CN206,AQ278,E2:E206,"0461",F2:F206,"52",AT2:AT206,{1,3}))</f>
        <v>5.0600000000000005</v>
      </c>
      <c r="AT278" s="387">
        <f>SUMPRODUCT(--(CN2:CN206=AQ278),--(N2:N206&lt;&gt;"NG"),--(AG2:AG206&lt;&gt;"D"),--(AR2:AR206&lt;&gt;6),--(AR2:AR206&lt;&gt;36),--(AR2:AR206&lt;&gt;56),T2:T206)+SUMPRODUCT(--(CN2:CN206=AQ278),--(N2:N206&lt;&gt;"NG"),--(AG2:AG206&lt;&gt;"D"),--(AR2:AR206&lt;&gt;6),--(AR2:AR206&lt;&gt;36),--(AR2:AR206&lt;&gt;56),U2:U206)</f>
        <v>282002.67000000004</v>
      </c>
      <c r="AU278" s="387">
        <f>SUMPRODUCT(--(CN2:CN206=AQ278),--(N2:N206&lt;&gt;"NG"),--(AG2:AG206&lt;&gt;"D"),--(AR2:AR206&lt;&gt;6),--(AR2:AR206&lt;&gt;36),--(AR2:AR206&lt;&gt;56),V2:V206)</f>
        <v>115050.46</v>
      </c>
      <c r="AV278" s="387">
        <f>SUMPRODUCT(--(CN2:CN206=AQ278),AY2:AY206)+SUMPRODUCT(--(CN2:CN206=AQ278),AZ2:AZ206)</f>
        <v>292792.02999999997</v>
      </c>
      <c r="AW278" s="387">
        <f>SUMPRODUCT(--(CN2:CN206=AQ278),BB2:BB206)+SUMPRODUCT(--(CN2:CN206=AQ278),BC2:BC206)</f>
        <v>58949</v>
      </c>
      <c r="AX278" s="387">
        <f>SUMPRODUCT(--(CN2:CN206=AQ278),BL2:BL206)+SUMPRODUCT(--(CN2:CN206=AQ278),BM2:BM206)</f>
        <v>65806.252190300002</v>
      </c>
      <c r="AY278" s="387">
        <f>SUMPRODUCT(--(CN2:CN206=AQ278),AY2:AY206)+SUMPRODUCT(--(CN2:CN206=AQ278),AZ2:AZ206)+SUMPRODUCT(--(CN2:CN206=AQ278),BA2:BA206)</f>
        <v>292792.02999999997</v>
      </c>
      <c r="AZ278" s="387">
        <f>SUMPRODUCT(--(CN2:CN206=AQ278),BN2:BN206)+SUMPRODUCT(--(CN2:CN206=AQ278),BO2:BO206)</f>
        <v>58949</v>
      </c>
      <c r="BA278" s="387">
        <f>SUMPRODUCT(--(CN2:CN206=AQ278),BX2:BX206)+SUMPRODUCT(--(CN2:CN206=AQ278),BY2:BY206)</f>
        <v>64410.457790300003</v>
      </c>
    </row>
    <row r="279" spans="41:53" x14ac:dyDescent="0.25">
      <c r="AP279" t="s">
        <v>994</v>
      </c>
      <c r="AS279" s="398">
        <f t="shared" ref="AS279:BA279" si="202">SUM(AS277:AS278)</f>
        <v>5.7900000000000009</v>
      </c>
      <c r="AT279" s="398">
        <f t="shared" si="202"/>
        <v>319226.78000000003</v>
      </c>
      <c r="AU279" s="398">
        <f t="shared" si="202"/>
        <v>130283.54000000001</v>
      </c>
      <c r="AV279" s="398">
        <f t="shared" si="202"/>
        <v>333092.84999999998</v>
      </c>
      <c r="AW279" s="398">
        <f t="shared" si="202"/>
        <v>67453.5</v>
      </c>
      <c r="AX279" s="398">
        <f t="shared" si="202"/>
        <v>74820.085320099999</v>
      </c>
      <c r="AY279" s="398">
        <f t="shared" si="202"/>
        <v>333092.84999999998</v>
      </c>
      <c r="AZ279" s="398">
        <f t="shared" si="202"/>
        <v>67453.5</v>
      </c>
      <c r="BA279" s="398">
        <f t="shared" si="202"/>
        <v>73259.222366100003</v>
      </c>
    </row>
    <row r="280" spans="41:53" x14ac:dyDescent="0.25">
      <c r="AQ280" t="s">
        <v>946</v>
      </c>
      <c r="AS280" s="387">
        <f>SUM(SUMIFS(AS2:AS206,CN2:CN206,AQ280,E2:E206,"0462",F2:F206,"00",AT2:AT206,{1,3}))</f>
        <v>0.48</v>
      </c>
      <c r="AT280" s="387">
        <f>SUMPRODUCT(--(CN2:CN206=AQ280),--(N2:N206&lt;&gt;"NG"),--(AG2:AG206&lt;&gt;"D"),--(AR2:AR206&lt;&gt;6),--(AR2:AR206&lt;&gt;36),--(AR2:AR206&lt;&gt;56),T2:T206)+SUMPRODUCT(--(CN2:CN206=AQ280),--(N2:N206&lt;&gt;"NG"),--(AG2:AG206&lt;&gt;"D"),--(AR2:AR206&lt;&gt;6),--(AR2:AR206&lt;&gt;36),--(AR2:AR206&lt;&gt;56),U2:U206)</f>
        <v>33977.520000000004</v>
      </c>
      <c r="AU280" s="387">
        <f>SUMPRODUCT(--(CN2:CN206=AQ280),--(N2:N206&lt;&gt;"NG"),--(AG2:AG206&lt;&gt;"D"),--(AR2:AR206&lt;&gt;6),--(AR2:AR206&lt;&gt;36),--(AR2:AR206&lt;&gt;56),V2:V206)</f>
        <v>12253.1</v>
      </c>
      <c r="AV280" s="387">
        <f>SUMPRODUCT(--(CN2:CN206=AQ280),AY2:AY206)+SUMPRODUCT(--(CN2:CN206=AQ280),AZ2:AZ206)</f>
        <v>34550.450000000004</v>
      </c>
      <c r="AW280" s="387">
        <f>SUMPRODUCT(--(CN2:CN206=AQ280),BB2:BB206)+SUMPRODUCT(--(CN2:CN206=AQ280),BC2:BC206)</f>
        <v>5592</v>
      </c>
      <c r="AX280" s="387">
        <f>SUMPRODUCT(--(CN2:CN206=AQ280),BL2:BL206)+SUMPRODUCT(--(CN2:CN206=AQ280),BM2:BM206)</f>
        <v>7755.3560901000001</v>
      </c>
      <c r="AY280" s="387">
        <f>SUMPRODUCT(--(CN2:CN206=AQ280),AY2:AY206)+SUMPRODUCT(--(CN2:CN206=AQ280),AZ2:AZ206)+SUMPRODUCT(--(CN2:CN206=AQ280),BA2:BA206)</f>
        <v>34550.450000000004</v>
      </c>
      <c r="AZ280" s="387">
        <f>SUMPRODUCT(--(CN2:CN206=AQ280),BN2:BN206)+SUMPRODUCT(--(CN2:CN206=AQ280),BO2:BO206)</f>
        <v>5592</v>
      </c>
      <c r="BA280" s="387">
        <f>SUMPRODUCT(--(CN2:CN206=AQ280),BX2:BX206)+SUMPRODUCT(--(CN2:CN206=AQ280),BY2:BY206)</f>
        <v>7586.0588850999993</v>
      </c>
    </row>
    <row r="281" spans="41:53" x14ac:dyDescent="0.25">
      <c r="AQ281" t="s">
        <v>995</v>
      </c>
      <c r="AS281" s="387">
        <f>SUM(SUMIFS(AS2:AS206,CN2:CN206,AQ281,E2:E206,"0462",F2:F206,"99",AT2:AT206,{1,3}))</f>
        <v>7.1</v>
      </c>
      <c r="AT281" s="387">
        <f>SUMPRODUCT(--(CN2:CN206=AQ281),--(N2:N206&lt;&gt;"NG"),--(AG2:AG206&lt;&gt;"D"),--(AR2:AR206&lt;&gt;6),--(AR2:AR206&lt;&gt;36),--(AR2:AR206&lt;&gt;56),T2:T206)+SUMPRODUCT(--(CN2:CN206=AQ281),--(N2:N206&lt;&gt;"NG"),--(AG2:AG206&lt;&gt;"D"),--(AR2:AR206&lt;&gt;6),--(AR2:AR206&lt;&gt;36),--(AR2:AR206&lt;&gt;56),U2:U206)</f>
        <v>424886.52999999997</v>
      </c>
      <c r="AU281" s="387">
        <f>SUMPRODUCT(--(CN2:CN206=AQ281),--(N2:N206&lt;&gt;"NG"),--(AG2:AG206&lt;&gt;"D"),--(AR2:AR206&lt;&gt;6),--(AR2:AR206&lt;&gt;36),--(AR2:AR206&lt;&gt;56),V2:V206)</f>
        <v>169559.72</v>
      </c>
      <c r="AV281" s="387">
        <f>SUMPRODUCT(--(CN2:CN206=AQ281),AY2:AY206)+SUMPRODUCT(--(CN2:CN206=AQ281),AZ2:AZ206)</f>
        <v>454477.92</v>
      </c>
      <c r="AW281" s="387">
        <f>SUMPRODUCT(--(CN2:CN206=AQ281),BB2:BB206)+SUMPRODUCT(--(CN2:CN206=AQ281),BC2:BC206)</f>
        <v>82715</v>
      </c>
      <c r="AX281" s="387">
        <f>SUMPRODUCT(--(CN2:CN206=AQ281),BL2:BL206)+SUMPRODUCT(--(CN2:CN206=AQ281),BM2:BM206)</f>
        <v>101807.64337119999</v>
      </c>
      <c r="AY281" s="387">
        <f>SUMPRODUCT(--(CN2:CN206=AQ281),AY2:AY206)+SUMPRODUCT(--(CN2:CN206=AQ281),AZ2:AZ206)+SUMPRODUCT(--(CN2:CN206=AQ281),BA2:BA206)</f>
        <v>454477.92</v>
      </c>
      <c r="AZ281" s="387">
        <f>SUMPRODUCT(--(CN2:CN206=AQ281),BN2:BN206)+SUMPRODUCT(--(CN2:CN206=AQ281),BO2:BO206)</f>
        <v>82715</v>
      </c>
      <c r="BA281" s="387">
        <f>SUMPRODUCT(--(CN2:CN206=AQ281),BX2:BX206)+SUMPRODUCT(--(CN2:CN206=AQ281),BY2:BY206)</f>
        <v>99645.512491200003</v>
      </c>
    </row>
    <row r="282" spans="41:53" x14ac:dyDescent="0.25">
      <c r="AP282" t="s">
        <v>996</v>
      </c>
      <c r="AS282" s="398">
        <f t="shared" ref="AS282:BA282" si="203">SUM(AS280:AS281)</f>
        <v>7.58</v>
      </c>
      <c r="AT282" s="398">
        <f t="shared" si="203"/>
        <v>458864.05</v>
      </c>
      <c r="AU282" s="398">
        <f t="shared" si="203"/>
        <v>181812.82</v>
      </c>
      <c r="AV282" s="398">
        <f t="shared" si="203"/>
        <v>489028.37</v>
      </c>
      <c r="AW282" s="398">
        <f t="shared" si="203"/>
        <v>88307</v>
      </c>
      <c r="AX282" s="398">
        <f t="shared" si="203"/>
        <v>109562.99946129999</v>
      </c>
      <c r="AY282" s="398">
        <f t="shared" si="203"/>
        <v>489028.37</v>
      </c>
      <c r="AZ282" s="398">
        <f t="shared" si="203"/>
        <v>88307</v>
      </c>
      <c r="BA282" s="398">
        <f t="shared" si="203"/>
        <v>107231.57137630001</v>
      </c>
    </row>
    <row r="283" spans="41:53" x14ac:dyDescent="0.25">
      <c r="AQ283" t="s">
        <v>908</v>
      </c>
      <c r="AS283" s="387">
        <f>SUM(SUMIFS(AS2:AS206,CN2:CN206,AQ283,E2:E206,"0519",F2:F206,"00",AT2:AT206,{1,3}))</f>
        <v>1.19</v>
      </c>
      <c r="AT283" s="387">
        <f>SUMPRODUCT(--(CN2:CN206=AQ283),--(N2:N206&lt;&gt;"NG"),--(AG2:AG206&lt;&gt;"D"),--(AR2:AR206&lt;&gt;6),--(AR2:AR206&lt;&gt;36),--(AR2:AR206&lt;&gt;56),T2:T206)+SUMPRODUCT(--(CN2:CN206=AQ283),--(N2:N206&lt;&gt;"NG"),--(AG2:AG206&lt;&gt;"D"),--(AR2:AR206&lt;&gt;6),--(AR2:AR206&lt;&gt;36),--(AR2:AR206&lt;&gt;56),U2:U206)</f>
        <v>113318.76000000001</v>
      </c>
      <c r="AU283" s="387">
        <f>SUMPRODUCT(--(CN2:CN206=AQ283),--(N2:N206&lt;&gt;"NG"),--(AG2:AG206&lt;&gt;"D"),--(AR2:AR206&lt;&gt;6),--(AR2:AR206&lt;&gt;36),--(AR2:AR206&lt;&gt;56),V2:V206)</f>
        <v>38458.120000000003</v>
      </c>
      <c r="AV283" s="387">
        <f>SUMPRODUCT(--(CN2:CN206=AQ283),AY2:AY206)+SUMPRODUCT(--(CN2:CN206=AQ283),AZ2:AZ206)</f>
        <v>87137.42</v>
      </c>
      <c r="AW283" s="387">
        <f>SUMPRODUCT(--(CN2:CN206=AQ283),BB2:BB206)+SUMPRODUCT(--(CN2:CN206=AQ283),BC2:BC206)</f>
        <v>13863.5</v>
      </c>
      <c r="AX283" s="387">
        <f>SUMPRODUCT(--(CN2:CN206=AQ283),BL2:BL206)+SUMPRODUCT(--(CN2:CN206=AQ283),BM2:BM206)</f>
        <v>19348.342070999999</v>
      </c>
      <c r="AY283" s="387">
        <f>SUMPRODUCT(--(CN2:CN206=AQ283),AY2:AY206)+SUMPRODUCT(--(CN2:CN206=AQ283),AZ2:AZ206)+SUMPRODUCT(--(CN2:CN206=AQ283),BA2:BA206)</f>
        <v>87137.42</v>
      </c>
      <c r="AZ283" s="387">
        <f>SUMPRODUCT(--(CN2:CN206=AQ283),BN2:BN206)+SUMPRODUCT(--(CN2:CN206=AQ283),BO2:BO206)</f>
        <v>13863.5</v>
      </c>
      <c r="BA283" s="387">
        <f>SUMPRODUCT(--(CN2:CN206=AQ283),BX2:BX206)+SUMPRODUCT(--(CN2:CN206=AQ283),BY2:BY206)</f>
        <v>18934.330879000001</v>
      </c>
    </row>
    <row r="284" spans="41:53" x14ac:dyDescent="0.25">
      <c r="AP284" t="s">
        <v>997</v>
      </c>
      <c r="AS284" s="398">
        <f t="shared" ref="AS284:BA284" si="204">SUM(AS283:AS283)</f>
        <v>1.19</v>
      </c>
      <c r="AT284" s="398">
        <f t="shared" si="204"/>
        <v>113318.76000000001</v>
      </c>
      <c r="AU284" s="398">
        <f t="shared" si="204"/>
        <v>38458.120000000003</v>
      </c>
      <c r="AV284" s="398">
        <f t="shared" si="204"/>
        <v>87137.42</v>
      </c>
      <c r="AW284" s="398">
        <f t="shared" si="204"/>
        <v>13863.5</v>
      </c>
      <c r="AX284" s="398">
        <f t="shared" si="204"/>
        <v>19348.342070999999</v>
      </c>
      <c r="AY284" s="398">
        <f t="shared" si="204"/>
        <v>87137.42</v>
      </c>
      <c r="AZ284" s="398">
        <f t="shared" si="204"/>
        <v>13863.5</v>
      </c>
      <c r="BA284" s="398">
        <f t="shared" si="204"/>
        <v>18934.330879000001</v>
      </c>
    </row>
    <row r="285" spans="41:53" x14ac:dyDescent="0.25">
      <c r="AS285" s="387"/>
      <c r="AT285" s="387"/>
      <c r="AU285" s="387"/>
      <c r="AV285" s="387"/>
      <c r="AW285" s="387"/>
      <c r="AX285" s="387"/>
      <c r="AY285" s="387"/>
      <c r="AZ285" s="387"/>
      <c r="BA285" s="387"/>
    </row>
    <row r="286" spans="41:53" x14ac:dyDescent="0.25">
      <c r="AO286" s="396" t="s">
        <v>998</v>
      </c>
      <c r="AS286" s="399">
        <f t="shared" ref="AS286:BA286" si="205">SUM(AS267,AS269,AS274,AS276,AS279,AS282,AS284)</f>
        <v>112.00000000000001</v>
      </c>
      <c r="AT286" s="399">
        <f t="shared" si="205"/>
        <v>5923318.9499999993</v>
      </c>
      <c r="AU286" s="399">
        <f t="shared" si="205"/>
        <v>2573630.5100000002</v>
      </c>
      <c r="AV286" s="399">
        <f t="shared" si="205"/>
        <v>6070105.4399999995</v>
      </c>
      <c r="AW286" s="399">
        <f t="shared" si="205"/>
        <v>1304800</v>
      </c>
      <c r="AX286" s="399">
        <f t="shared" si="205"/>
        <v>1362675.9243404001</v>
      </c>
      <c r="AY286" s="399">
        <f t="shared" si="205"/>
        <v>6070105.4399999995</v>
      </c>
      <c r="AZ286" s="399">
        <f t="shared" si="205"/>
        <v>1304800</v>
      </c>
      <c r="BA286" s="399">
        <f t="shared" si="205"/>
        <v>1333580.5169153998</v>
      </c>
    </row>
    <row r="287" spans="41:53" x14ac:dyDescent="0.25">
      <c r="AS287" s="387"/>
      <c r="AT287" s="387"/>
      <c r="AU287" s="387"/>
      <c r="AV287" s="387"/>
      <c r="AW287" s="387"/>
      <c r="AX287" s="387"/>
      <c r="AY287" s="387"/>
      <c r="AZ287" s="387"/>
      <c r="BA287" s="387"/>
    </row>
    <row r="288" spans="41:53" x14ac:dyDescent="0.25">
      <c r="AO288" s="392" t="s">
        <v>999</v>
      </c>
      <c r="AS288" s="387"/>
      <c r="AT288" s="387"/>
      <c r="AU288" s="387"/>
      <c r="AV288" s="387"/>
      <c r="AW288" s="387"/>
      <c r="AX288" s="387"/>
      <c r="AY288" s="387"/>
      <c r="AZ288" s="387"/>
      <c r="BA288" s="387"/>
    </row>
    <row r="289" spans="41:342" x14ac:dyDescent="0.25">
      <c r="AQ289" t="s">
        <v>889</v>
      </c>
      <c r="AS289" s="387"/>
      <c r="AT289" s="387">
        <f>SUMIF(CN2:CN206,AQ289,CL2:CL206)</f>
        <v>1925</v>
      </c>
      <c r="AU289" s="387">
        <f>SUMIF(CN2:CN206,AQ289,CM2:CM206)</f>
        <v>399.55</v>
      </c>
      <c r="AV289" s="387">
        <f>SUMIF(CN2:CN206,AQ289,CL2:CL206)</f>
        <v>1925</v>
      </c>
      <c r="AW289" s="387">
        <v>0</v>
      </c>
      <c r="AX289" s="387">
        <f>SUMIF(CN2:CN206,AQ289,CM2:CM206)</f>
        <v>399.55</v>
      </c>
      <c r="AY289" s="387">
        <f>SUMIF(CN2:CN206,AQ289,CL2:CL206)</f>
        <v>1925</v>
      </c>
      <c r="AZ289" s="387">
        <v>0</v>
      </c>
      <c r="BA289" s="387">
        <f>SUMIF(CN2:CN206,AQ289,CM2:CM206)</f>
        <v>399.55</v>
      </c>
    </row>
    <row r="290" spans="41:342" x14ac:dyDescent="0.25">
      <c r="AP290" t="s">
        <v>985</v>
      </c>
      <c r="AS290" s="398"/>
      <c r="AT290" s="398">
        <f t="shared" ref="AT290:BA290" si="206">SUM(AT289:AT289)</f>
        <v>1925</v>
      </c>
      <c r="AU290" s="398">
        <f t="shared" si="206"/>
        <v>399.55</v>
      </c>
      <c r="AV290" s="398">
        <f t="shared" si="206"/>
        <v>1925</v>
      </c>
      <c r="AW290" s="398">
        <f t="shared" si="206"/>
        <v>0</v>
      </c>
      <c r="AX290" s="398">
        <f t="shared" si="206"/>
        <v>399.55</v>
      </c>
      <c r="AY290" s="398">
        <f t="shared" si="206"/>
        <v>1925</v>
      </c>
      <c r="AZ290" s="398">
        <f t="shared" si="206"/>
        <v>0</v>
      </c>
      <c r="BA290" s="398">
        <f t="shared" si="206"/>
        <v>399.55</v>
      </c>
    </row>
    <row r="291" spans="41:342" x14ac:dyDescent="0.25">
      <c r="AQ291" t="s">
        <v>988</v>
      </c>
      <c r="AS291" s="387"/>
      <c r="AT291" s="387">
        <f>SUMIF(CN2:CN206,AQ291,CL2:CL206)</f>
        <v>9212.15</v>
      </c>
      <c r="AU291" s="387">
        <f>SUMIF(CN2:CN206,AQ291,CM2:CM206)</f>
        <v>2532.79</v>
      </c>
      <c r="AV291" s="387">
        <f>SUMIF(CN2:CN206,AQ291,CL2:CL206)</f>
        <v>9212.15</v>
      </c>
      <c r="AW291" s="387">
        <v>0</v>
      </c>
      <c r="AX291" s="387">
        <f>SUMIF(CN2:CN206,AQ291,CM2:CM206)</f>
        <v>2532.79</v>
      </c>
      <c r="AY291" s="387">
        <f>SUMIF(CN2:CN206,AQ291,CL2:CL206)</f>
        <v>9212.15</v>
      </c>
      <c r="AZ291" s="387">
        <v>0</v>
      </c>
      <c r="BA291" s="387">
        <f>SUMIF(CN2:CN206,AQ291,CM2:CM206)</f>
        <v>2532.79</v>
      </c>
    </row>
    <row r="292" spans="41:342" x14ac:dyDescent="0.25">
      <c r="AQ292" t="s">
        <v>990</v>
      </c>
      <c r="AS292" s="387"/>
      <c r="AT292" s="387">
        <f>SUMIF(CN2:CN206,AQ292,CL2:CL206)</f>
        <v>1140</v>
      </c>
      <c r="AU292" s="387">
        <f>SUMIF(CN2:CN206,AQ292,CM2:CM206)</f>
        <v>97.37</v>
      </c>
      <c r="AV292" s="387">
        <f>SUMIF(CN2:CN206,AQ292,CL2:CL206)</f>
        <v>1140</v>
      </c>
      <c r="AW292" s="387">
        <v>0</v>
      </c>
      <c r="AX292" s="387">
        <f>SUMIF(CN2:CN206,AQ292,CM2:CM206)</f>
        <v>97.37</v>
      </c>
      <c r="AY292" s="387">
        <f>SUMIF(CN2:CN206,AQ292,CL2:CL206)</f>
        <v>1140</v>
      </c>
      <c r="AZ292" s="387">
        <v>0</v>
      </c>
      <c r="BA292" s="387">
        <f>SUMIF(CN2:CN206,AQ292,CM2:CM206)</f>
        <v>97.37</v>
      </c>
    </row>
    <row r="293" spans="41:342" x14ac:dyDescent="0.25">
      <c r="AP293" t="s">
        <v>991</v>
      </c>
      <c r="AS293" s="398"/>
      <c r="AT293" s="398">
        <f t="shared" ref="AT293:BA293" si="207">SUM(AT291:AT292)</f>
        <v>10352.15</v>
      </c>
      <c r="AU293" s="398">
        <f t="shared" si="207"/>
        <v>2630.16</v>
      </c>
      <c r="AV293" s="398">
        <f t="shared" si="207"/>
        <v>10352.15</v>
      </c>
      <c r="AW293" s="398">
        <f t="shared" si="207"/>
        <v>0</v>
      </c>
      <c r="AX293" s="398">
        <f t="shared" si="207"/>
        <v>2630.16</v>
      </c>
      <c r="AY293" s="398">
        <f t="shared" si="207"/>
        <v>10352.15</v>
      </c>
      <c r="AZ293" s="398">
        <f t="shared" si="207"/>
        <v>0</v>
      </c>
      <c r="BA293" s="398">
        <f t="shared" si="207"/>
        <v>2630.16</v>
      </c>
    </row>
    <row r="294" spans="41:342" x14ac:dyDescent="0.25">
      <c r="AQ294" t="s">
        <v>930</v>
      </c>
      <c r="AS294" s="387"/>
      <c r="AT294" s="387">
        <f>SUMIF(CN2:CN206,AQ294,CL2:CL206)</f>
        <v>6480</v>
      </c>
      <c r="AU294" s="387">
        <f>SUMIF(CN2:CN206,AQ294,CM2:CM206)</f>
        <v>920.75</v>
      </c>
      <c r="AV294" s="387">
        <f>SUMIF(CN2:CN206,AQ294,CL2:CL206)</f>
        <v>6480</v>
      </c>
      <c r="AW294" s="387">
        <v>0</v>
      </c>
      <c r="AX294" s="387">
        <f>SUMIF(CN2:CN206,AQ294,CM2:CM206)</f>
        <v>920.75</v>
      </c>
      <c r="AY294" s="387">
        <f>SUMIF(CN2:CN206,AQ294,CL2:CL206)</f>
        <v>6480</v>
      </c>
      <c r="AZ294" s="387">
        <v>0</v>
      </c>
      <c r="BA294" s="387">
        <f>SUMIF(CN2:CN206,AQ294,CM2:CM206)</f>
        <v>920.75</v>
      </c>
    </row>
    <row r="295" spans="41:342" x14ac:dyDescent="0.25">
      <c r="AP295" t="s">
        <v>992</v>
      </c>
      <c r="AS295" s="398"/>
      <c r="AT295" s="398">
        <f t="shared" ref="AT295:BA295" si="208">SUM(AT294:AT294)</f>
        <v>6480</v>
      </c>
      <c r="AU295" s="398">
        <f t="shared" si="208"/>
        <v>920.75</v>
      </c>
      <c r="AV295" s="398">
        <f t="shared" si="208"/>
        <v>6480</v>
      </c>
      <c r="AW295" s="398">
        <f t="shared" si="208"/>
        <v>0</v>
      </c>
      <c r="AX295" s="398">
        <f t="shared" si="208"/>
        <v>920.75</v>
      </c>
      <c r="AY295" s="398">
        <f t="shared" si="208"/>
        <v>6480</v>
      </c>
      <c r="AZ295" s="398">
        <f t="shared" si="208"/>
        <v>0</v>
      </c>
      <c r="BA295" s="398">
        <f t="shared" si="208"/>
        <v>920.75</v>
      </c>
    </row>
    <row r="296" spans="41:342" x14ac:dyDescent="0.25">
      <c r="AS296" s="387"/>
      <c r="AT296" s="387"/>
      <c r="AU296" s="387"/>
      <c r="AV296" s="387"/>
      <c r="AW296" s="387"/>
      <c r="AX296" s="387"/>
      <c r="AY296" s="387"/>
      <c r="AZ296" s="387"/>
      <c r="BA296" s="387"/>
    </row>
    <row r="297" spans="41:342" x14ac:dyDescent="0.25">
      <c r="AO297" s="396" t="s">
        <v>1000</v>
      </c>
      <c r="AS297" s="399">
        <f t="shared" ref="AS297:BA297" si="209">SUM(AS290,AS293,AS295)</f>
        <v>0</v>
      </c>
      <c r="AT297" s="399">
        <f t="shared" si="209"/>
        <v>18757.150000000001</v>
      </c>
      <c r="AU297" s="399">
        <f t="shared" si="209"/>
        <v>3950.46</v>
      </c>
      <c r="AV297" s="399">
        <f t="shared" si="209"/>
        <v>18757.150000000001</v>
      </c>
      <c r="AW297" s="399">
        <f t="shared" si="209"/>
        <v>0</v>
      </c>
      <c r="AX297" s="399">
        <f t="shared" si="209"/>
        <v>3950.46</v>
      </c>
      <c r="AY297" s="399">
        <f t="shared" si="209"/>
        <v>18757.150000000001</v>
      </c>
      <c r="AZ297" s="399">
        <f t="shared" si="209"/>
        <v>0</v>
      </c>
      <c r="BA297" s="399">
        <f t="shared" si="209"/>
        <v>3950.46</v>
      </c>
      <c r="LS297" s="392"/>
      <c r="MD297" s="392"/>
    </row>
    <row r="298" spans="41:342" x14ac:dyDescent="0.25">
      <c r="AS298" s="387"/>
      <c r="AT298" s="387"/>
      <c r="AU298" s="387"/>
      <c r="AV298" s="387"/>
      <c r="AW298" s="387"/>
      <c r="AX298" s="387"/>
      <c r="AY298" s="387"/>
      <c r="AZ298" s="387"/>
      <c r="BA298" s="387"/>
    </row>
    <row r="299" spans="41:342" x14ac:dyDescent="0.25">
      <c r="AO299" s="397" t="s">
        <v>1001</v>
      </c>
      <c r="AS299" s="400">
        <f t="shared" ref="AS299:BA299" si="210">SUM(AS286,AS297)</f>
        <v>112.00000000000001</v>
      </c>
      <c r="AT299" s="401">
        <f t="shared" si="210"/>
        <v>5942076.0999999996</v>
      </c>
      <c r="AU299" s="401">
        <f t="shared" si="210"/>
        <v>2577580.9700000002</v>
      </c>
      <c r="AV299" s="401">
        <f t="shared" si="210"/>
        <v>6088862.5899999999</v>
      </c>
      <c r="AW299" s="401">
        <f t="shared" si="210"/>
        <v>1304800</v>
      </c>
      <c r="AX299" s="401">
        <f t="shared" si="210"/>
        <v>1366626.3843404001</v>
      </c>
      <c r="AY299" s="401">
        <f t="shared" si="210"/>
        <v>6088862.5899999999</v>
      </c>
      <c r="AZ299" s="401">
        <f t="shared" si="210"/>
        <v>1304800</v>
      </c>
      <c r="BA299" s="401">
        <f t="shared" si="210"/>
        <v>1337530.9769153998</v>
      </c>
    </row>
  </sheetData>
  <mergeCells count="5">
    <mergeCell ref="AT263:AU263"/>
    <mergeCell ref="AV263:AV264"/>
    <mergeCell ref="AW263:AX263"/>
    <mergeCell ref="AY263:AY264"/>
    <mergeCell ref="AZ263:BA26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zoomScaleNormal="100" workbookViewId="0">
      <selection activeCell="B8" sqref="B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1.3899999999999999E-2</v>
      </c>
      <c r="D8" s="234">
        <v>1.3899999999999999E-2</v>
      </c>
      <c r="E8" s="314">
        <f t="shared" si="0"/>
        <v>0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0.10556999999999998</v>
      </c>
      <c r="D12" s="234">
        <f>SUM(D5:D11)</f>
        <v>0.10066999999999998</v>
      </c>
      <c r="E12" s="315">
        <f>D12-C12</f>
        <v>-4.9000000000000016E-3</v>
      </c>
      <c r="M12" s="320"/>
    </row>
    <row r="13" spans="1:15" x14ac:dyDescent="0.3">
      <c r="A13" s="3"/>
      <c r="B13" s="231" t="s">
        <v>9</v>
      </c>
      <c r="C13" s="226">
        <f>SUM(C5:C8)</f>
        <v>9.5299999999999996E-2</v>
      </c>
      <c r="D13" s="226">
        <f>SUM(D5:D8)</f>
        <v>9.0399999999999994E-2</v>
      </c>
      <c r="E13" s="313">
        <f t="shared" si="0"/>
        <v>-4.9000000000000016E-3</v>
      </c>
      <c r="F13" s="8"/>
    </row>
    <row r="14" spans="1:15" x14ac:dyDescent="0.3">
      <c r="A14" s="230"/>
      <c r="B14" s="232" t="s">
        <v>102</v>
      </c>
      <c r="C14" s="226">
        <f>SUM(C5:C6,C8:C9)</f>
        <v>9.7609999999999988E-2</v>
      </c>
      <c r="D14" s="226">
        <f>SUM(D5:D6,D8:D9)</f>
        <v>9.7609999999999988E-2</v>
      </c>
      <c r="E14" s="313">
        <f>D14-C14</f>
        <v>0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20" priority="5">
      <formula>$J$44&lt;0</formula>
    </cfRule>
  </conditionalFormatting>
  <conditionalFormatting sqref="K43">
    <cfRule type="expression" dxfId="19" priority="4">
      <formula>$J$43&lt;0</formula>
    </cfRule>
  </conditionalFormatting>
  <conditionalFormatting sqref="L16">
    <cfRule type="expression" dxfId="18" priority="3">
      <formula>$J$16&lt;0</formula>
    </cfRule>
  </conditionalFormatting>
  <conditionalFormatting sqref="K45">
    <cfRule type="expression" dxfId="17" priority="2">
      <formula>$J$44&lt;0</formula>
    </cfRule>
  </conditionalFormatting>
  <conditionalFormatting sqref="K43:N45">
    <cfRule type="containsText" dxfId="1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5B88-EF4A-48F8-88D4-9F30A9C0CE4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896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894</v>
      </c>
      <c r="J5" s="411"/>
      <c r="K5" s="411"/>
      <c r="L5" s="410"/>
      <c r="M5" s="352" t="s">
        <v>115</v>
      </c>
      <c r="N5" s="32" t="s">
        <v>895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"&amp;'ADAA|0365-00'!FiscalYear-1&amp;" SALARY"</f>
        <v>FY 2022 SALARY</v>
      </c>
      <c r="H8" s="50" t="str">
        <f>"FY "&amp;'ADAA|0365-00'!FiscalYear-1&amp;" HEALTH BENEFITS"</f>
        <v>FY 2022 HEALTH BENEFITS</v>
      </c>
      <c r="I8" s="50" t="str">
        <f>"FY "&amp;'ADAA|0365-00'!FiscalYear-1&amp;" VAR BENEFITS"</f>
        <v>FY 2022 VAR BENEFITS</v>
      </c>
      <c r="J8" s="50" t="str">
        <f>"FY "&amp;'ADAA|0365-00'!FiscalYear-1&amp;" TOTAL"</f>
        <v>FY 2022 TOTAL</v>
      </c>
      <c r="K8" s="50" t="str">
        <f>"FY "&amp;'ADAA|0365-00'!FiscalYear&amp;" SALARY CHANGE"</f>
        <v>FY 2023 SALARY CHANGE</v>
      </c>
      <c r="L8" s="50" t="str">
        <f>"FY "&amp;'ADAA|0365-00'!FiscalYear&amp;" CHG HEALTH BENEFITS"</f>
        <v>FY 2023 CHG HEALTH BENEFITS</v>
      </c>
      <c r="M8" s="50" t="str">
        <f>"FY "&amp;'ADAA|0365-00'!FiscalYear&amp;"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[0]!ADAA036500col_INC_FTI</f>
        <v>1.04</v>
      </c>
      <c r="G10" s="218">
        <f>[0]!ADAA036500col_FTI_SALARY_PERM</f>
        <v>67512.84</v>
      </c>
      <c r="H10" s="218">
        <f>[0]!ADAA036500col_HEALTH_PERM</f>
        <v>12116</v>
      </c>
      <c r="I10" s="218">
        <f>[0]!ADAA036500col_TOT_VB_PERM</f>
        <v>15107.7341696</v>
      </c>
      <c r="J10" s="219">
        <f>SUM(G10:I10)</f>
        <v>94736.574169600004</v>
      </c>
      <c r="K10" s="219">
        <f>[0]!ADAA036500col_1_27TH_PP</f>
        <v>0</v>
      </c>
      <c r="L10" s="218">
        <f>[0]!ADAA036500col_HEALTH_PERM_CHG</f>
        <v>0</v>
      </c>
      <c r="M10" s="218">
        <f>[0]!ADAA036500col_TOT_VB_PERM_CHG</f>
        <v>-291.92636899999997</v>
      </c>
      <c r="N10" s="218">
        <f>SUM(L10:M10)</f>
        <v>-291.92636899999997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[0]!ADAA036500col_Group_Salary</f>
        <v>0</v>
      </c>
      <c r="H11" s="218">
        <v>0</v>
      </c>
      <c r="I11" s="218">
        <f>[0]!ADAA036500col_Group_Ben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[0]!ADAA036500col_TOTAL_ELECT_PCN_FTI</f>
        <v>0</v>
      </c>
      <c r="G12" s="218">
        <f>[0]!ADAA036500col_FTI_SALARY_ELECT</f>
        <v>0</v>
      </c>
      <c r="H12" s="218">
        <f>[0]!ADAA036500col_HEALTH_ELECT</f>
        <v>0</v>
      </c>
      <c r="I12" s="218">
        <f>[0]!ADAA036500col_TOT_VB_ELECT</f>
        <v>0</v>
      </c>
      <c r="J12" s="219">
        <f>SUM(G12:I12)</f>
        <v>0</v>
      </c>
      <c r="K12" s="268"/>
      <c r="L12" s="218">
        <f>[0]!ADAA036500col_HEALTH_ELECT_CHG</f>
        <v>0</v>
      </c>
      <c r="M12" s="218">
        <f>[0]!ADAA036500col_TOT_VB_ELECT_CHG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1.04</v>
      </c>
      <c r="G13" s="221">
        <f>SUM(G10:G12)</f>
        <v>67512.84</v>
      </c>
      <c r="H13" s="221">
        <f>SUM(H10:H12)</f>
        <v>12116</v>
      </c>
      <c r="I13" s="221">
        <f>SUM(I10:I12)</f>
        <v>15107.7341696</v>
      </c>
      <c r="J13" s="219">
        <f>SUM(G13:I13)</f>
        <v>94736.574169600004</v>
      </c>
      <c r="K13" s="268"/>
      <c r="L13" s="219">
        <f>SUM(L10:L12)</f>
        <v>0</v>
      </c>
      <c r="M13" s="219">
        <f>SUM(M10:M12)</f>
        <v>-291.92636899999997</v>
      </c>
      <c r="N13" s="219">
        <f>SUM(N10:N12)</f>
        <v>-291.92636899999997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"&amp;'ADAA|0365-00'!FiscalYear-1</f>
        <v>FY 2022</v>
      </c>
      <c r="D15" s="158" t="s">
        <v>31</v>
      </c>
      <c r="E15" s="355">
        <v>150500</v>
      </c>
      <c r="F15" s="55">
        <v>1.9</v>
      </c>
      <c r="G15" s="223">
        <f>IF(OrigApprop=0,0,(G13/$J$13)*OrigApprop)</f>
        <v>107251.95109768344</v>
      </c>
      <c r="H15" s="223">
        <f>IF(OrigApprop=0,0,(H13/$J$13)*OrigApprop)</f>
        <v>19247.666658661266</v>
      </c>
      <c r="I15" s="223">
        <f>IF(G15=0,0,(I13/$J$13)*OrigApprop)</f>
        <v>24000.382243655287</v>
      </c>
      <c r="J15" s="223">
        <f>SUM(G15:I15)</f>
        <v>150500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0.85999999999999988</v>
      </c>
      <c r="G16" s="162">
        <f>G15-G13</f>
        <v>39739.111097683446</v>
      </c>
      <c r="H16" s="162">
        <f>H15-H13</f>
        <v>7131.6666586612664</v>
      </c>
      <c r="I16" s="162">
        <f>I15-I13</f>
        <v>8892.648074055287</v>
      </c>
      <c r="J16" s="162">
        <f>J15-J13</f>
        <v>55763.425830399996</v>
      </c>
      <c r="K16" s="269"/>
      <c r="L16" s="56" t="str">
        <f>IF('ADAA|0365-00'!OrigApprop=0,"ERROR! Enter Original Appropriation amount in DU 3.00!","Calculated "&amp;IF('ADAA|0365-00'!AdjustedTotal&gt;0,"overfunding ","underfunding ")&amp;"is "&amp;TEXT('ADAA|0365-00'!AdjustedTotal/'ADAA|0365-00'!AppropTotal,"#.0%;(#.0% );0% ;")&amp;" of Original Appropriation")</f>
        <v>Calculated overfunding is 37.1%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1.04</v>
      </c>
      <c r="G38" s="191">
        <f>SUMIF($E10:$E35,$E38,$G10:$G35)</f>
        <v>67512.84</v>
      </c>
      <c r="H38" s="192">
        <f>SUMIF($E10:$E35,$E38,$H10:$H35)</f>
        <v>12116</v>
      </c>
      <c r="I38" s="192">
        <f>SUMIF($E10:$E35,$E38,$I10:$I35)</f>
        <v>15107.7341696</v>
      </c>
      <c r="J38" s="192">
        <f>SUM(G38:I38)</f>
        <v>94736.574169600004</v>
      </c>
      <c r="K38" s="166"/>
      <c r="L38" s="191">
        <f>SUMIF($E10:$E35,$E38,$L10:$L35)</f>
        <v>0</v>
      </c>
      <c r="M38" s="192">
        <f>SUMIF($E10:$E35,$E38,$M10:$M35)</f>
        <v>-291.92636899999997</v>
      </c>
      <c r="N38" s="192">
        <f>SUM(L38:M38)</f>
        <v>-291.92636899999997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1.04</v>
      </c>
      <c r="G41" s="195">
        <f>SUM($G$38:$G$40)</f>
        <v>67512.84</v>
      </c>
      <c r="H41" s="162">
        <f>SUM($H$38:$H$40)</f>
        <v>12116</v>
      </c>
      <c r="I41" s="162">
        <f>SUM($I$38:$I$40)</f>
        <v>15107.7341696</v>
      </c>
      <c r="J41" s="162">
        <f>SUM($J$38:$J$40)</f>
        <v>94736.574169600004</v>
      </c>
      <c r="K41" s="259"/>
      <c r="L41" s="195">
        <f>SUM($L$38:$L$40)</f>
        <v>0</v>
      </c>
      <c r="M41" s="162">
        <f>SUM($M$38:$M$40)</f>
        <v>-291.92636899999997</v>
      </c>
      <c r="N41" s="162">
        <f>SUM(L41:M41)</f>
        <v>-291.92636899999997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0.86</v>
      </c>
      <c r="G43" s="206">
        <f>ROUND(G51-G41,-2)</f>
        <v>39700</v>
      </c>
      <c r="H43" s="159">
        <f>ROUND(H51-H41,-2)</f>
        <v>7100</v>
      </c>
      <c r="I43" s="159">
        <f>ROUND(I51-I41,-2)</f>
        <v>8900</v>
      </c>
      <c r="J43" s="159">
        <f>SUM(G43:I43)</f>
        <v>55700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37.0%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0.86</v>
      </c>
      <c r="G44" s="206">
        <f>ROUND(G60-G41,-2)</f>
        <v>39800</v>
      </c>
      <c r="H44" s="159">
        <f>ROUND(H60-H41,-2)</f>
        <v>7100</v>
      </c>
      <c r="I44" s="159">
        <f>ROUND(I60-I41,-2)</f>
        <v>8900</v>
      </c>
      <c r="J44" s="159">
        <f>SUM(G44:I44)</f>
        <v>55800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37.1%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0.86</v>
      </c>
      <c r="G45" s="206">
        <f>ROUND(G67-G41-G63,-2)</f>
        <v>39800</v>
      </c>
      <c r="H45" s="206">
        <f>ROUND(H67-H41-H63,-2)</f>
        <v>7100</v>
      </c>
      <c r="I45" s="206">
        <f>ROUND(I67-I41-I63,-2)</f>
        <v>8900</v>
      </c>
      <c r="J45" s="159">
        <f>SUM(G45:I45)</f>
        <v>55800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37.1%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150500</v>
      </c>
      <c r="F51" s="272">
        <f>AppropFTP</f>
        <v>1.9</v>
      </c>
      <c r="G51" s="274">
        <f>IF(E51=0,0,(G41/$J$41)*$E$51)</f>
        <v>107251.95109768344</v>
      </c>
      <c r="H51" s="274">
        <f>IF(E51=0,0,(H41/$J$41)*$E$51)</f>
        <v>19247.666658661266</v>
      </c>
      <c r="I51" s="275">
        <f>IF(E51=0,0,(I41/$J$41)*$E$51)</f>
        <v>24000.382243655287</v>
      </c>
      <c r="J51" s="90">
        <f>SUM(G51:I51)</f>
        <v>150500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1.9</v>
      </c>
      <c r="G52" s="79">
        <f>ROUND(G51,-2)</f>
        <v>107300</v>
      </c>
      <c r="H52" s="79">
        <f>ROUND(H51,-2)</f>
        <v>19200</v>
      </c>
      <c r="I52" s="266">
        <f>ROUND(I51,-2)</f>
        <v>24000</v>
      </c>
      <c r="J52" s="80">
        <f>ROUND(J51,-2)</f>
        <v>150500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1.9</v>
      </c>
      <c r="G56" s="80">
        <f>SUM(G52:G55)</f>
        <v>107300</v>
      </c>
      <c r="H56" s="80">
        <f>SUM(H52:H55)</f>
        <v>19200</v>
      </c>
      <c r="I56" s="260">
        <f>SUM(I52:I55)</f>
        <v>24000</v>
      </c>
      <c r="J56" s="80">
        <f>SUM(J52:J55)</f>
        <v>150500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1.9</v>
      </c>
      <c r="G60" s="80">
        <f>SUM(G56:G59)</f>
        <v>107300</v>
      </c>
      <c r="H60" s="80">
        <f>SUM(H56:H59)</f>
        <v>19200</v>
      </c>
      <c r="I60" s="260">
        <f>SUM(I56:I59)</f>
        <v>24000</v>
      </c>
      <c r="J60" s="80">
        <f>SUM(J56:J59)</f>
        <v>150500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1.9</v>
      </c>
      <c r="G67" s="80">
        <f>SUM(G60:G64)</f>
        <v>107300</v>
      </c>
      <c r="H67" s="80">
        <f>SUM(H60:H64)</f>
        <v>19200</v>
      </c>
      <c r="I67" s="80">
        <f>SUM(I60:I64)</f>
        <v>24000</v>
      </c>
      <c r="J67" s="80">
        <f>SUM(J60:J64)</f>
        <v>150500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200</v>
      </c>
      <c r="J72" s="113">
        <f>SUM(G72:I72)</f>
        <v>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1.9</v>
      </c>
      <c r="G75" s="80">
        <f>SUM(G67:G74)</f>
        <v>108000</v>
      </c>
      <c r="H75" s="80">
        <f>SUM(H67:H74)</f>
        <v>19200</v>
      </c>
      <c r="I75" s="80">
        <f>SUM(I67:I74)</f>
        <v>23900</v>
      </c>
      <c r="J75" s="80">
        <f>SUM(J67:K74)</f>
        <v>151100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1.9</v>
      </c>
      <c r="G80" s="80">
        <f>SUM(G75:G79)</f>
        <v>108000</v>
      </c>
      <c r="H80" s="80">
        <f>SUM(H75:H79)</f>
        <v>19200</v>
      </c>
      <c r="I80" s="80">
        <f>SUM(I75:I79)</f>
        <v>23900</v>
      </c>
      <c r="J80" s="80">
        <f>SUM(J75:J79)</f>
        <v>151100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95" priority="5">
      <formula>$J$44&lt;0</formula>
    </cfRule>
  </conditionalFormatting>
  <conditionalFormatting sqref="K43">
    <cfRule type="expression" dxfId="94" priority="4">
      <formula>$J$43&lt;0</formula>
    </cfRule>
  </conditionalFormatting>
  <conditionalFormatting sqref="L16">
    <cfRule type="expression" dxfId="93" priority="3">
      <formula>$J$16&lt;0</formula>
    </cfRule>
  </conditionalFormatting>
  <conditionalFormatting sqref="K45">
    <cfRule type="expression" dxfId="92" priority="2">
      <formula>$J$44&lt;0</formula>
    </cfRule>
  </conditionalFormatting>
  <conditionalFormatting sqref="K43:N45">
    <cfRule type="containsText" dxfId="9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5B912-F8E8-4FCE-887F-1AF86A4A416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75"/>
  <sheetViews>
    <sheetView topLeftCell="A4" workbookViewId="0">
      <selection activeCell="A91" sqref="A91:B9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891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0" t="s">
        <v>23</v>
      </c>
      <c r="D2" s="49" t="s">
        <v>24</v>
      </c>
      <c r="E2" s="50" t="str">
        <f>"FY "&amp;'ADAA|0001-00'!FiscalYear-1&amp;" SALARY"</f>
        <v>FY 2022 SALARY</v>
      </c>
      <c r="F2" s="50" t="str">
        <f>"FY "&amp;'ADAA|0001-00'!FiscalYear-1&amp;" HEALTH BENEFITS"</f>
        <v>FY 2022 HEALTH BENEFITS</v>
      </c>
      <c r="G2" s="50" t="str">
        <f>"FY "&amp;'ADAA|0001-00'!FiscalYear-1&amp;" VAR BENEFITS"</f>
        <v>FY 2022 VAR BENEFITS</v>
      </c>
      <c r="H2" s="50" t="str">
        <f>"FY "&amp;'ADAA|0001-00'!FiscalYear-1&amp;" TOTAL"</f>
        <v>FY 2022 TOTAL</v>
      </c>
      <c r="I2" s="50" t="str">
        <f>"FY "&amp;'ADAA|0001-00'!FiscalYear&amp;" SALARY CHANGE"</f>
        <v>FY 2023 SALARY CHANGE</v>
      </c>
      <c r="J2" s="50" t="str">
        <f>"FY "&amp;'ADAA|0001-00'!FiscalYear&amp;" CHG HEALTH BENEFITS"</f>
        <v>FY 2023 CHG HEALTH BENEFITS</v>
      </c>
      <c r="K2" s="50" t="str">
        <f>"FY "&amp;'ADAA|0001-00'!FiscalYear&amp;" CHG VAR BENEFITS"</f>
        <v>FY 2023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[0]!ADAA000100col_INC_FTI</f>
        <v>1.5</v>
      </c>
      <c r="E4" s="218">
        <f>[0]!ADAA000100col_FTI_SALARY_PERM</f>
        <v>121533.36</v>
      </c>
      <c r="F4" s="218">
        <f>[0]!ADAA000100col_HEALTH_PERM</f>
        <v>17475</v>
      </c>
      <c r="G4" s="218">
        <f>[0]!ADAA000100col_TOT_VB_PERM</f>
        <v>27008.313685600002</v>
      </c>
      <c r="H4" s="219">
        <f>SUM(E4:G4)</f>
        <v>166016.67368559999</v>
      </c>
      <c r="I4" s="219">
        <f>[0]!ADAA000100col_1_27TH_PP</f>
        <v>0</v>
      </c>
      <c r="J4" s="218">
        <f>[0]!ADAA000100col_HEALTH_PERM_CHG</f>
        <v>0</v>
      </c>
      <c r="K4" s="218">
        <f>[0]!ADAA000100col_TOT_VB_PERM_CHG</f>
        <v>-433.48614399999997</v>
      </c>
      <c r="L4" s="218">
        <f>SUM(J4:K4)</f>
        <v>-433.48614399999997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[0]!ADAA000100col_Group_Salary</f>
        <v>0</v>
      </c>
      <c r="F5" s="218">
        <v>0</v>
      </c>
      <c r="G5" s="218">
        <f>[0]!ADAA000100col_Group_Ben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[0]!ADAA000100col_TOTAL_ELECT_PCN_FTI</f>
        <v>0</v>
      </c>
      <c r="E6" s="218">
        <f>[0]!ADAA000100col_FTI_SALARY_ELECT</f>
        <v>0</v>
      </c>
      <c r="F6" s="218">
        <f>[0]!ADAA000100col_HEALTH_ELECT</f>
        <v>0</v>
      </c>
      <c r="G6" s="218">
        <f>[0]!ADAA000100col_TOT_VB_ELECT</f>
        <v>0</v>
      </c>
      <c r="H6" s="219">
        <f>SUM(E6:G6)</f>
        <v>0</v>
      </c>
      <c r="I6" s="268"/>
      <c r="J6" s="218">
        <f>[0]!ADAA000100col_HEALTH_ELECT_CHG</f>
        <v>0</v>
      </c>
      <c r="K6" s="218">
        <f>[0]!ADAA000100col_TOT_VB_ELECT_CHG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1.5</v>
      </c>
      <c r="E7" s="221">
        <f>SUM(E4:E6)</f>
        <v>121533.36</v>
      </c>
      <c r="F7" s="221">
        <f>SUM(F4:F6)</f>
        <v>17475</v>
      </c>
      <c r="G7" s="221">
        <f>SUM(G4:G6)</f>
        <v>27008.313685600002</v>
      </c>
      <c r="H7" s="219">
        <f>SUM(E7:G7)</f>
        <v>166016.67368559999</v>
      </c>
      <c r="I7" s="268"/>
      <c r="J7" s="219">
        <f>SUM(J4:J6)</f>
        <v>0</v>
      </c>
      <c r="K7" s="219">
        <f>SUM(K4:K6)</f>
        <v>-433.48614399999997</v>
      </c>
      <c r="L7" s="219">
        <f>SUM(L4:L6)</f>
        <v>-433.48614399999997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"&amp;'ADAA|0001-00'!FiscalYear-1</f>
        <v>FY 2022</v>
      </c>
      <c r="B9" s="158" t="s">
        <v>31</v>
      </c>
      <c r="C9" s="355">
        <v>181000</v>
      </c>
      <c r="D9" s="55">
        <v>1.58</v>
      </c>
      <c r="E9" s="223">
        <f>IF('ADAA|0001-00'!OrigApprop=0,0,(E7/H7)*'ADAA|0001-00'!OrigApprop)</f>
        <v>132501.98110617866</v>
      </c>
      <c r="F9" s="223">
        <f>IF('ADAA|0001-00'!OrigApprop=0,0,(F7/H7)*'ADAA|0001-00'!OrigApprop)</f>
        <v>19052.152592757018</v>
      </c>
      <c r="G9" s="223">
        <f>IF(E9=0,0,(G7/H7)*'ADAA|0001-00'!OrigApprop)</f>
        <v>29445.866301064318</v>
      </c>
      <c r="H9" s="223">
        <f>SUM(E9:G9)</f>
        <v>181000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8.0000000000000071E-2</v>
      </c>
      <c r="E10" s="162">
        <f>E9-E7</f>
        <v>10968.62110617866</v>
      </c>
      <c r="F10" s="162">
        <f>F9-F7</f>
        <v>1577.1525927570183</v>
      </c>
      <c r="G10" s="162">
        <f>G9-G7</f>
        <v>2437.5526154643157</v>
      </c>
      <c r="H10" s="162">
        <f>H9-H7</f>
        <v>14983.326314400008</v>
      </c>
      <c r="I10" s="269"/>
      <c r="J10" s="56" t="str">
        <f>IF('ADAA|0001-00'!OrigApprop=0,"ERROR! Enter Original Appropriation amount in DU 3.00!","Calculated "&amp;IF('ADAA|0001-00'!AdjustedTotal&gt;0,"overfunding ","underfunding ")&amp;"is "&amp;TEXT('ADAA|0001-00'!AdjustedTotal/'ADAA|0001-00'!AppropTotal,"#.0%;(#.0% );0% ;")&amp;" of Original Appropriation")</f>
        <v>Calculated overfunding is 8.3% of Original Appropriation</v>
      </c>
      <c r="K10" s="163"/>
      <c r="L10" s="164"/>
    </row>
    <row r="12" spans="1:12" x14ac:dyDescent="0.25">
      <c r="A12" s="395" t="s">
        <v>897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12" t="s">
        <v>22</v>
      </c>
      <c r="B13" s="413"/>
      <c r="C13" s="370" t="s">
        <v>23</v>
      </c>
      <c r="D13" s="49" t="s">
        <v>24</v>
      </c>
      <c r="E13" s="50" t="str">
        <f>"FY "&amp;'ADAA|0365-00'!FiscalYear-1&amp;" SALARY"</f>
        <v>FY 2022 SALARY</v>
      </c>
      <c r="F13" s="50" t="str">
        <f>"FY "&amp;'ADAA|0365-00'!FiscalYear-1&amp;" HEALTH BENEFITS"</f>
        <v>FY 2022 HEALTH BENEFITS</v>
      </c>
      <c r="G13" s="50" t="str">
        <f>"FY "&amp;'ADAA|0365-00'!FiscalYear-1&amp;" VAR BENEFITS"</f>
        <v>FY 2022 VAR BENEFITS</v>
      </c>
      <c r="H13" s="50" t="str">
        <f>"FY "&amp;'ADAA|0365-00'!FiscalYear-1&amp;" TOTAL"</f>
        <v>FY 2022 TOTAL</v>
      </c>
      <c r="I13" s="50" t="str">
        <f>"FY "&amp;'ADAA|0365-00'!FiscalYear&amp;" SALARY CHANGE"</f>
        <v>FY 2023 SALARY CHANGE</v>
      </c>
      <c r="J13" s="50" t="str">
        <f>"FY "&amp;'ADAA|0365-00'!FiscalYear&amp;" CHG HEALTH BENEFITS"</f>
        <v>FY 2023 CHG HEALTH BENEFITS</v>
      </c>
      <c r="K13" s="50" t="str">
        <f>"FY "&amp;'ADAA|0365-00'!FiscalYear&amp;" CHG VAR BENEFITS"</f>
        <v>FY 2023 CHG VAR BENEFITS</v>
      </c>
      <c r="L13" s="50" t="s">
        <v>25</v>
      </c>
    </row>
    <row r="14" spans="1:12" x14ac:dyDescent="0.25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5" t="s">
        <v>27</v>
      </c>
      <c r="B15" s="406"/>
      <c r="C15" s="217">
        <v>1</v>
      </c>
      <c r="D15" s="288">
        <f>[0]!ADAA036500col_INC_FTI</f>
        <v>1.04</v>
      </c>
      <c r="E15" s="218">
        <f>[0]!ADAA036500col_FTI_SALARY_PERM</f>
        <v>67512.84</v>
      </c>
      <c r="F15" s="218">
        <f>[0]!ADAA036500col_HEALTH_PERM</f>
        <v>12116</v>
      </c>
      <c r="G15" s="218">
        <f>[0]!ADAA036500col_TOT_VB_PERM</f>
        <v>15107.7341696</v>
      </c>
      <c r="H15" s="219">
        <f>SUM(E15:G15)</f>
        <v>94736.574169600004</v>
      </c>
      <c r="I15" s="219">
        <f>[0]!ADAA036500col_1_27TH_PP</f>
        <v>0</v>
      </c>
      <c r="J15" s="218">
        <f>[0]!ADAA036500col_HEALTH_PERM_CHG</f>
        <v>0</v>
      </c>
      <c r="K15" s="218">
        <f>[0]!ADAA036500col_TOT_VB_PERM_CHG</f>
        <v>-291.92636899999997</v>
      </c>
      <c r="L15" s="218">
        <f>SUM(J15:K15)</f>
        <v>-291.92636899999997</v>
      </c>
    </row>
    <row r="16" spans="1:12" x14ac:dyDescent="0.25">
      <c r="A16" s="405" t="s">
        <v>28</v>
      </c>
      <c r="B16" s="406"/>
      <c r="C16" s="217">
        <v>2</v>
      </c>
      <c r="D16" s="288"/>
      <c r="E16" s="218">
        <f>[0]!ADAA036500col_Group_Salary</f>
        <v>0</v>
      </c>
      <c r="F16" s="218">
        <v>0</v>
      </c>
      <c r="G16" s="218">
        <f>[0]!ADAA036500col_Group_Ben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5" t="s">
        <v>29</v>
      </c>
      <c r="B17" s="417"/>
      <c r="C17" s="217">
        <v>3</v>
      </c>
      <c r="D17" s="288">
        <f>[0]!ADAA036500col_TOTAL_ELECT_PCN_FTI</f>
        <v>0</v>
      </c>
      <c r="E17" s="218">
        <f>[0]!ADAA036500col_FTI_SALARY_ELECT</f>
        <v>0</v>
      </c>
      <c r="F17" s="218">
        <f>[0]!ADAA036500col_HEALTH_ELECT</f>
        <v>0</v>
      </c>
      <c r="G17" s="218">
        <f>[0]!ADAA036500col_TOT_VB_ELECT</f>
        <v>0</v>
      </c>
      <c r="H17" s="219">
        <f>SUM(E17:G17)</f>
        <v>0</v>
      </c>
      <c r="I17" s="268"/>
      <c r="J17" s="218">
        <f>[0]!ADAA036500col_HEALTH_ELECT_CHG</f>
        <v>0</v>
      </c>
      <c r="K17" s="218">
        <f>[0]!ADAA036500col_TOT_VB_ELECT_CHG</f>
        <v>0</v>
      </c>
      <c r="L17" s="219">
        <f>SUM(J17:K17)</f>
        <v>0</v>
      </c>
    </row>
    <row r="18" spans="1:12" x14ac:dyDescent="0.25">
      <c r="A18" s="405" t="s">
        <v>30</v>
      </c>
      <c r="B18" s="406"/>
      <c r="C18" s="217"/>
      <c r="D18" s="220">
        <f>SUM(D15:D17)</f>
        <v>1.04</v>
      </c>
      <c r="E18" s="221">
        <f>SUM(E15:E17)</f>
        <v>67512.84</v>
      </c>
      <c r="F18" s="221">
        <f>SUM(F15:F17)</f>
        <v>12116</v>
      </c>
      <c r="G18" s="221">
        <f>SUM(G15:G17)</f>
        <v>15107.7341696</v>
      </c>
      <c r="H18" s="219">
        <f>SUM(E18:G18)</f>
        <v>94736.574169600004</v>
      </c>
      <c r="I18" s="268"/>
      <c r="J18" s="219">
        <f>SUM(J15:J17)</f>
        <v>0</v>
      </c>
      <c r="K18" s="219">
        <f>SUM(K15:K17)</f>
        <v>-291.92636899999997</v>
      </c>
      <c r="L18" s="219">
        <f>SUM(L15:L17)</f>
        <v>-291.92636899999997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"&amp;'ADAA|0365-00'!FiscalYear-1</f>
        <v>FY 2022</v>
      </c>
      <c r="B20" s="158" t="s">
        <v>31</v>
      </c>
      <c r="C20" s="355">
        <v>150500</v>
      </c>
      <c r="D20" s="55">
        <v>1.9</v>
      </c>
      <c r="E20" s="223">
        <f>IF('ADAA|0365-00'!OrigApprop=0,0,(E18/H18)*'ADAA|0365-00'!OrigApprop)</f>
        <v>107251.95109768344</v>
      </c>
      <c r="F20" s="223">
        <f>IF('ADAA|0365-00'!OrigApprop=0,0,(F18/H18)*'ADAA|0365-00'!OrigApprop)</f>
        <v>19247.666658661266</v>
      </c>
      <c r="G20" s="223">
        <f>IF(E20=0,0,(G18/H18)*'ADAA|0365-00'!OrigApprop)</f>
        <v>24000.382243655287</v>
      </c>
      <c r="H20" s="223">
        <f>SUM(E20:G20)</f>
        <v>150500</v>
      </c>
      <c r="I20" s="268"/>
      <c r="J20" s="224"/>
      <c r="K20" s="224"/>
      <c r="L20" s="224"/>
    </row>
    <row r="21" spans="1:12" x14ac:dyDescent="0.25">
      <c r="A21" s="423" t="s">
        <v>32</v>
      </c>
      <c r="B21" s="424"/>
      <c r="C21" s="160" t="s">
        <v>33</v>
      </c>
      <c r="D21" s="161">
        <f>D20-D18</f>
        <v>0.85999999999999988</v>
      </c>
      <c r="E21" s="162">
        <f>E20-E18</f>
        <v>39739.111097683446</v>
      </c>
      <c r="F21" s="162">
        <f>F20-F18</f>
        <v>7131.6666586612664</v>
      </c>
      <c r="G21" s="162">
        <f>G20-G18</f>
        <v>8892.648074055287</v>
      </c>
      <c r="H21" s="162">
        <f>H20-H18</f>
        <v>55763.425830399996</v>
      </c>
      <c r="I21" s="269"/>
      <c r="J21" s="56" t="str">
        <f>IF('ADAA|0365-00'!OrigApprop=0,"ERROR! Enter Original Appropriation amount in DU 3.00!","Calculated "&amp;IF('ADAA|0365-00'!AdjustedTotal&gt;0,"overfunding ","underfunding ")&amp;"is "&amp;TEXT('ADAA|0365-00'!AdjustedTotal/'ADAA|0365-00'!AppropTotal,"#.0%;(#.0% );0% ;")&amp;" of Original Appropriation")</f>
        <v>Calculated overfunding is 37.1% of Original Appropriation</v>
      </c>
      <c r="K21" s="163"/>
      <c r="L21" s="164"/>
    </row>
    <row r="23" spans="1:12" x14ac:dyDescent="0.25">
      <c r="A23" s="395" t="s">
        <v>904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12" t="s">
        <v>22</v>
      </c>
      <c r="B24" s="413"/>
      <c r="C24" s="370" t="s">
        <v>23</v>
      </c>
      <c r="D24" s="49" t="s">
        <v>24</v>
      </c>
      <c r="E24" s="50" t="str">
        <f>"FY "&amp;'ADAA|0450-00'!FiscalYear-1&amp;" SALARY"</f>
        <v>FY 2022 SALARY</v>
      </c>
      <c r="F24" s="50" t="str">
        <f>"FY "&amp;'ADAA|0450-00'!FiscalYear-1&amp;" HEALTH BENEFITS"</f>
        <v>FY 2022 HEALTH BENEFITS</v>
      </c>
      <c r="G24" s="50" t="str">
        <f>"FY "&amp;'ADAA|0450-00'!FiscalYear-1&amp;" VAR BENEFITS"</f>
        <v>FY 2022 VAR BENEFITS</v>
      </c>
      <c r="H24" s="50" t="str">
        <f>"FY "&amp;'ADAA|0450-00'!FiscalYear-1&amp;" TOTAL"</f>
        <v>FY 2022 TOTAL</v>
      </c>
      <c r="I24" s="50" t="str">
        <f>"FY "&amp;'ADAA|0450-00'!FiscalYear&amp;" SALARY CHANGE"</f>
        <v>FY 2023 SALARY CHANGE</v>
      </c>
      <c r="J24" s="50" t="str">
        <f>"FY "&amp;'ADAA|0450-00'!FiscalYear&amp;" CHG HEALTH BENEFITS"</f>
        <v>FY 2023 CHG HEALTH BENEFITS</v>
      </c>
      <c r="K24" s="50" t="str">
        <f>"FY "&amp;'ADAA|0450-00'!FiscalYear&amp;" CHG VAR BENEFITS"</f>
        <v>FY 2023 CHG VAR BENEFITS</v>
      </c>
      <c r="L24" s="50" t="s">
        <v>25</v>
      </c>
    </row>
    <row r="25" spans="1:12" x14ac:dyDescent="0.25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5" t="s">
        <v>27</v>
      </c>
      <c r="B26" s="406"/>
      <c r="C26" s="217">
        <v>1</v>
      </c>
      <c r="D26" s="288">
        <f>[0]!ADAA045000col_INC_FTI</f>
        <v>4.7</v>
      </c>
      <c r="E26" s="218">
        <f>[0]!ADAA045000col_FTI_SALARY_PERM</f>
        <v>331659.73999999993</v>
      </c>
      <c r="F26" s="218">
        <f>[0]!ADAA045000col_HEALTH_PERM</f>
        <v>54755</v>
      </c>
      <c r="G26" s="218">
        <f>[0]!ADAA045000col_TOT_VB_PERM</f>
        <v>73884.761094600006</v>
      </c>
      <c r="H26" s="219">
        <f>SUM(E26:G26)</f>
        <v>460299.50109459995</v>
      </c>
      <c r="I26" s="219">
        <f>[0]!ADAA045000col_1_27TH_PP</f>
        <v>0</v>
      </c>
      <c r="J26" s="218">
        <f>[0]!ADAA045000col_HEALTH_PERM_CHG</f>
        <v>0</v>
      </c>
      <c r="K26" s="218">
        <f>[0]!ADAA045000col_TOT_VB_PERM_CHG</f>
        <v>-1327.0024669999998</v>
      </c>
      <c r="L26" s="218">
        <f>SUM(J26:K26)</f>
        <v>-1327.0024669999998</v>
      </c>
    </row>
    <row r="27" spans="1:12" x14ac:dyDescent="0.25">
      <c r="A27" s="405" t="s">
        <v>28</v>
      </c>
      <c r="B27" s="406"/>
      <c r="C27" s="217">
        <v>2</v>
      </c>
      <c r="D27" s="288"/>
      <c r="E27" s="218">
        <f>[0]!ADAA045000col_Group_Salary</f>
        <v>0</v>
      </c>
      <c r="F27" s="218">
        <v>0</v>
      </c>
      <c r="G27" s="218">
        <f>[0]!ADAA045000col_Group_Ben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05" t="s">
        <v>29</v>
      </c>
      <c r="B28" s="417"/>
      <c r="C28" s="217">
        <v>3</v>
      </c>
      <c r="D28" s="288">
        <f>[0]!ADAA045000col_TOTAL_ELECT_PCN_FTI</f>
        <v>0</v>
      </c>
      <c r="E28" s="218">
        <f>[0]!ADAA045000col_FTI_SALARY_ELECT</f>
        <v>0</v>
      </c>
      <c r="F28" s="218">
        <f>[0]!ADAA045000col_HEALTH_ELECT</f>
        <v>0</v>
      </c>
      <c r="G28" s="218">
        <f>[0]!ADAA045000col_TOT_VB_ELECT</f>
        <v>0</v>
      </c>
      <c r="H28" s="219">
        <f>SUM(E28:G28)</f>
        <v>0</v>
      </c>
      <c r="I28" s="268"/>
      <c r="J28" s="218">
        <f>[0]!ADAA045000col_HEALTH_ELECT_CHG</f>
        <v>0</v>
      </c>
      <c r="K28" s="218">
        <f>[0]!ADAA045000col_TOT_VB_ELECT_CHG</f>
        <v>0</v>
      </c>
      <c r="L28" s="219">
        <f>SUM(J28:K28)</f>
        <v>0</v>
      </c>
    </row>
    <row r="29" spans="1:12" x14ac:dyDescent="0.25">
      <c r="A29" s="405" t="s">
        <v>30</v>
      </c>
      <c r="B29" s="406"/>
      <c r="C29" s="217"/>
      <c r="D29" s="220">
        <f>SUM(D26:D28)</f>
        <v>4.7</v>
      </c>
      <c r="E29" s="221">
        <f>SUM(E26:E28)</f>
        <v>331659.73999999993</v>
      </c>
      <c r="F29" s="221">
        <f>SUM(F26:F28)</f>
        <v>54755</v>
      </c>
      <c r="G29" s="221">
        <f>SUM(G26:G28)</f>
        <v>73884.761094600006</v>
      </c>
      <c r="H29" s="219">
        <f>SUM(E29:G29)</f>
        <v>460299.50109459995</v>
      </c>
      <c r="I29" s="268"/>
      <c r="J29" s="219">
        <f>SUM(J26:J28)</f>
        <v>0</v>
      </c>
      <c r="K29" s="219">
        <f>SUM(K26:K28)</f>
        <v>-1327.0024669999998</v>
      </c>
      <c r="L29" s="219">
        <f>SUM(L26:L28)</f>
        <v>-1327.0024669999998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"&amp;'ADAA|0450-00'!FiscalYear-1</f>
        <v>FY 2022</v>
      </c>
      <c r="B31" s="158" t="s">
        <v>31</v>
      </c>
      <c r="C31" s="355">
        <v>547600</v>
      </c>
      <c r="D31" s="55">
        <v>5.0999999999999996</v>
      </c>
      <c r="E31" s="223">
        <f>IF('ADAA|0450-00'!OrigApprop=0,0,(E29/H29)*'ADAA|0450-00'!OrigApprop)</f>
        <v>394562.39511907357</v>
      </c>
      <c r="F31" s="223">
        <f>IF('ADAA|0450-00'!OrigApprop=0,0,(F29/H29)*'ADAA|0450-00'!OrigApprop)</f>
        <v>65139.844663524353</v>
      </c>
      <c r="G31" s="223">
        <f>IF(E31=0,0,(G29/H29)*'ADAA|0450-00'!OrigApprop)</f>
        <v>87897.760217402116</v>
      </c>
      <c r="H31" s="223">
        <f>SUM(E31:G31)</f>
        <v>547600</v>
      </c>
      <c r="I31" s="268"/>
      <c r="J31" s="224"/>
      <c r="K31" s="224"/>
      <c r="L31" s="224"/>
    </row>
    <row r="32" spans="1:12" x14ac:dyDescent="0.25">
      <c r="A32" s="423" t="s">
        <v>32</v>
      </c>
      <c r="B32" s="424"/>
      <c r="C32" s="160" t="s">
        <v>33</v>
      </c>
      <c r="D32" s="161">
        <f>D31-D29</f>
        <v>0.39999999999999947</v>
      </c>
      <c r="E32" s="162">
        <f>E31-E29</f>
        <v>62902.655119073635</v>
      </c>
      <c r="F32" s="162">
        <f>F31-F29</f>
        <v>10384.844663524353</v>
      </c>
      <c r="G32" s="162">
        <f>G31-G29</f>
        <v>14012.99912280211</v>
      </c>
      <c r="H32" s="162">
        <f>H31-H29</f>
        <v>87300.498905400047</v>
      </c>
      <c r="I32" s="269"/>
      <c r="J32" s="56" t="str">
        <f>IF('ADAA|0450-00'!OrigApprop=0,"ERROR! Enter Original Appropriation amount in DU 3.00!","Calculated "&amp;IF('ADAA|0450-00'!AdjustedTotal&gt;0,"overfunding ","underfunding ")&amp;"is "&amp;TEXT('ADAA|0450-00'!AdjustedTotal/'ADAA|0450-00'!AppropTotal,"#.0%;(#.0% );0% ;")&amp;" of Original Appropriation")</f>
        <v>Calculated overfunding is 15.9% of Original Appropriation</v>
      </c>
      <c r="K32" s="163"/>
      <c r="L32" s="164"/>
    </row>
    <row r="34" spans="1:12" x14ac:dyDescent="0.25">
      <c r="A34" s="395" t="s">
        <v>910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12" t="s">
        <v>22</v>
      </c>
      <c r="B35" s="413"/>
      <c r="C35" s="370" t="s">
        <v>23</v>
      </c>
      <c r="D35" s="49" t="s">
        <v>24</v>
      </c>
      <c r="E35" s="50" t="str">
        <f>"FY "&amp;'ADAA|0519-00'!FiscalYear-1&amp;" SALARY"</f>
        <v>FY 2022 SALARY</v>
      </c>
      <c r="F35" s="50" t="str">
        <f>"FY "&amp;'ADAA|0519-00'!FiscalYear-1&amp;" HEALTH BENEFITS"</f>
        <v>FY 2022 HEALTH BENEFITS</v>
      </c>
      <c r="G35" s="50" t="str">
        <f>"FY "&amp;'ADAA|0519-00'!FiscalYear-1&amp;" VAR BENEFITS"</f>
        <v>FY 2022 VAR BENEFITS</v>
      </c>
      <c r="H35" s="50" t="str">
        <f>"FY "&amp;'ADAA|0519-00'!FiscalYear-1&amp;" TOTAL"</f>
        <v>FY 2022 TOTAL</v>
      </c>
      <c r="I35" s="50" t="str">
        <f>"FY "&amp;'ADAA|0519-00'!FiscalYear&amp;" SALARY CHANGE"</f>
        <v>FY 2023 SALARY CHANGE</v>
      </c>
      <c r="J35" s="50" t="str">
        <f>"FY "&amp;'ADAA|0519-00'!FiscalYear&amp;" CHG HEALTH BENEFITS"</f>
        <v>FY 2023 CHG HEALTH BENEFITS</v>
      </c>
      <c r="K35" s="50" t="str">
        <f>"FY "&amp;'ADAA|0519-00'!FiscalYear&amp;" CHG VAR BENEFITS"</f>
        <v>FY 2023 CHG VAR BENEFITS</v>
      </c>
      <c r="L35" s="50" t="s">
        <v>25</v>
      </c>
    </row>
    <row r="36" spans="1:12" x14ac:dyDescent="0.25">
      <c r="A36" s="415" t="s">
        <v>26</v>
      </c>
      <c r="B36" s="41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5" t="s">
        <v>27</v>
      </c>
      <c r="B37" s="406"/>
      <c r="C37" s="217">
        <v>1</v>
      </c>
      <c r="D37" s="288">
        <f>[0]!ADAA051900col_INC_FTI</f>
        <v>0.19</v>
      </c>
      <c r="E37" s="218">
        <f>[0]!ADAA051900col_FTI_SALARY_PERM</f>
        <v>10697.42</v>
      </c>
      <c r="F37" s="218">
        <f>[0]!ADAA051900col_HEALTH_PERM</f>
        <v>2213.5</v>
      </c>
      <c r="G37" s="218">
        <f>[0]!ADAA051900col_TOT_VB_PERM</f>
        <v>2385.5416710000004</v>
      </c>
      <c r="H37" s="219">
        <f>SUM(E37:G37)</f>
        <v>15296.461671000001</v>
      </c>
      <c r="I37" s="219">
        <f>[0]!ADAA051900col_1_27TH_PP</f>
        <v>0</v>
      </c>
      <c r="J37" s="218">
        <f>[0]!ADAA051900col_HEALTH_PERM_CHG</f>
        <v>0</v>
      </c>
      <c r="K37" s="218">
        <f>[0]!ADAA051900col_TOT_VB_PERM_CHG</f>
        <v>-39.455191999999997</v>
      </c>
      <c r="L37" s="218">
        <f>SUM(J37:K37)</f>
        <v>-39.455191999999997</v>
      </c>
    </row>
    <row r="38" spans="1:12" x14ac:dyDescent="0.25">
      <c r="A38" s="405" t="s">
        <v>28</v>
      </c>
      <c r="B38" s="406"/>
      <c r="C38" s="217">
        <v>2</v>
      </c>
      <c r="D38" s="288"/>
      <c r="E38" s="218">
        <f>[0]!ADAA051900col_Group_Salary</f>
        <v>0</v>
      </c>
      <c r="F38" s="218">
        <v>0</v>
      </c>
      <c r="G38" s="218">
        <f>[0]!ADAA051900col_Group_Ben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05" t="s">
        <v>29</v>
      </c>
      <c r="B39" s="417"/>
      <c r="C39" s="217">
        <v>3</v>
      </c>
      <c r="D39" s="288">
        <f>[0]!ADAA051900col_TOTAL_ELECT_PCN_FTI</f>
        <v>0</v>
      </c>
      <c r="E39" s="218">
        <f>[0]!ADAA051900col_FTI_SALARY_ELECT</f>
        <v>0</v>
      </c>
      <c r="F39" s="218">
        <f>[0]!ADAA051900col_HEALTH_ELECT</f>
        <v>0</v>
      </c>
      <c r="G39" s="218">
        <f>[0]!ADAA051900col_TOT_VB_ELECT</f>
        <v>0</v>
      </c>
      <c r="H39" s="219">
        <f>SUM(E39:G39)</f>
        <v>0</v>
      </c>
      <c r="I39" s="268"/>
      <c r="J39" s="218">
        <f>[0]!ADAA051900col_HEALTH_ELECT_CHG</f>
        <v>0</v>
      </c>
      <c r="K39" s="218">
        <f>[0]!ADAA051900col_TOT_VB_ELECT_CHG</f>
        <v>0</v>
      </c>
      <c r="L39" s="219">
        <f>SUM(J39:K39)</f>
        <v>0</v>
      </c>
    </row>
    <row r="40" spans="1:12" x14ac:dyDescent="0.25">
      <c r="A40" s="405" t="s">
        <v>30</v>
      </c>
      <c r="B40" s="406"/>
      <c r="C40" s="217"/>
      <c r="D40" s="220">
        <f>SUM(D37:D39)</f>
        <v>0.19</v>
      </c>
      <c r="E40" s="221">
        <f>SUM(E37:E39)</f>
        <v>10697.42</v>
      </c>
      <c r="F40" s="221">
        <f>SUM(F37:F39)</f>
        <v>2213.5</v>
      </c>
      <c r="G40" s="221">
        <f>SUM(G37:G39)</f>
        <v>2385.5416710000004</v>
      </c>
      <c r="H40" s="219">
        <f>SUM(E40:G40)</f>
        <v>15296.461671000001</v>
      </c>
      <c r="I40" s="268"/>
      <c r="J40" s="219">
        <f>SUM(J37:J39)</f>
        <v>0</v>
      </c>
      <c r="K40" s="219">
        <f>SUM(K37:K39)</f>
        <v>-39.455191999999997</v>
      </c>
      <c r="L40" s="219">
        <f>SUM(L37:L39)</f>
        <v>-39.455191999999997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"&amp;'ADAA|0519-00'!FiscalYear-1</f>
        <v>FY 2022</v>
      </c>
      <c r="B42" s="158" t="s">
        <v>31</v>
      </c>
      <c r="C42" s="355">
        <v>24800</v>
      </c>
      <c r="D42" s="55">
        <v>0.2</v>
      </c>
      <c r="E42" s="223">
        <f>IF('ADAA|0519-00'!OrigApprop=0,0,(E40/H40)*'ADAA|0519-00'!OrigApprop)</f>
        <v>17343.619832223354</v>
      </c>
      <c r="F42" s="223">
        <f>IF('ADAA|0519-00'!OrigApprop=0,0,(F40/H40)*'ADAA|0519-00'!OrigApprop)</f>
        <v>3588.725365427028</v>
      </c>
      <c r="G42" s="223">
        <f>IF(E42=0,0,(G40/H40)*'ADAA|0519-00'!OrigApprop)</f>
        <v>3867.6548023496171</v>
      </c>
      <c r="H42" s="223">
        <f>SUM(E42:G42)</f>
        <v>24800</v>
      </c>
      <c r="I42" s="268"/>
      <c r="J42" s="224"/>
      <c r="K42" s="224"/>
      <c r="L42" s="224"/>
    </row>
    <row r="43" spans="1:12" x14ac:dyDescent="0.25">
      <c r="A43" s="423" t="s">
        <v>32</v>
      </c>
      <c r="B43" s="424"/>
      <c r="C43" s="160" t="s">
        <v>33</v>
      </c>
      <c r="D43" s="161">
        <f>D42-D40</f>
        <v>1.0000000000000009E-2</v>
      </c>
      <c r="E43" s="162">
        <f>E42-E40</f>
        <v>6646.199832223354</v>
      </c>
      <c r="F43" s="162">
        <f>F42-F40</f>
        <v>1375.225365427028</v>
      </c>
      <c r="G43" s="162">
        <f>G42-G40</f>
        <v>1482.1131313496167</v>
      </c>
      <c r="H43" s="162">
        <f>H42-H40</f>
        <v>9503.5383289999991</v>
      </c>
      <c r="I43" s="269"/>
      <c r="J43" s="56" t="str">
        <f>IF('ADAA|0519-00'!OrigApprop=0,"ERROR! Enter Original Appropriation amount in DU 3.00!","Calculated "&amp;IF('ADAA|0519-00'!AdjustedTotal&gt;0,"overfunding ","underfunding ")&amp;"is "&amp;TEXT('ADAA|0519-00'!AdjustedTotal/'ADAA|0519-00'!AppropTotal,"#.0%;(#.0% );0% ;")&amp;" of Original Appropriation")</f>
        <v>Calculated overfunding is 38.3% of Original Appropriation</v>
      </c>
      <c r="K43" s="163"/>
      <c r="L43" s="164"/>
    </row>
    <row r="45" spans="1:12" x14ac:dyDescent="0.25">
      <c r="A45" s="395" t="s">
        <v>914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12" t="s">
        <v>22</v>
      </c>
      <c r="B46" s="413"/>
      <c r="C46" s="370" t="s">
        <v>23</v>
      </c>
      <c r="D46" s="49" t="s">
        <v>24</v>
      </c>
      <c r="E46" s="50" t="str">
        <f>"FY "&amp;'ADAC|0365-00'!FiscalYear-1&amp;" SALARY"</f>
        <v>FY 2022 SALARY</v>
      </c>
      <c r="F46" s="50" t="str">
        <f>"FY "&amp;'ADAC|0365-00'!FiscalYear-1&amp;" HEALTH BENEFITS"</f>
        <v>FY 2022 HEALTH BENEFITS</v>
      </c>
      <c r="G46" s="50" t="str">
        <f>"FY "&amp;'ADAC|0365-00'!FiscalYear-1&amp;" VAR BENEFITS"</f>
        <v>FY 2022 VAR BENEFITS</v>
      </c>
      <c r="H46" s="50" t="str">
        <f>"FY "&amp;'ADAC|0365-00'!FiscalYear-1&amp;" TOTAL"</f>
        <v>FY 2022 TOTAL</v>
      </c>
      <c r="I46" s="50" t="str">
        <f>"FY "&amp;'ADAC|0365-00'!FiscalYear&amp;" SALARY CHANGE"</f>
        <v>FY 2023 SALARY CHANGE</v>
      </c>
      <c r="J46" s="50" t="str">
        <f>"FY "&amp;'ADAC|0365-00'!FiscalYear&amp;" CHG HEALTH BENEFITS"</f>
        <v>FY 2023 CHG HEALTH BENEFITS</v>
      </c>
      <c r="K46" s="50" t="str">
        <f>"FY "&amp;'ADAC|0365-00'!FiscalYear&amp;" CHG VAR BENEFITS"</f>
        <v>FY 2023 CHG VAR BENEFITS</v>
      </c>
      <c r="L46" s="50" t="s">
        <v>25</v>
      </c>
    </row>
    <row r="47" spans="1:12" x14ac:dyDescent="0.25">
      <c r="A47" s="415" t="s">
        <v>26</v>
      </c>
      <c r="B47" s="41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5" t="s">
        <v>27</v>
      </c>
      <c r="B48" s="406"/>
      <c r="C48" s="217">
        <v>1</v>
      </c>
      <c r="D48" s="288">
        <f>[0]!ADAC036500col_INC_FTI</f>
        <v>24.8</v>
      </c>
      <c r="E48" s="218">
        <f>[0]!ADAC036500col_FTI_SALARY_PERM</f>
        <v>1500692.9600000002</v>
      </c>
      <c r="F48" s="218">
        <f>[0]!ADAC036500col_HEALTH_PERM</f>
        <v>288920</v>
      </c>
      <c r="G48" s="218">
        <f>[0]!ADAC036500col_TOT_VB_PERM</f>
        <v>337438.50460320007</v>
      </c>
      <c r="H48" s="219">
        <f>SUM(E48:G48)</f>
        <v>2127051.4646032001</v>
      </c>
      <c r="I48" s="219">
        <f>[0]!ADAC036500col_1_27TH_PP</f>
        <v>0</v>
      </c>
      <c r="J48" s="218">
        <f>[0]!ADAC036500col_HEALTH_PERM_CHG</f>
        <v>0</v>
      </c>
      <c r="K48" s="218">
        <f>[0]!ADAC036500col_TOT_VB_PERM_CHG</f>
        <v>-7353.3955039999992</v>
      </c>
      <c r="L48" s="218">
        <f>SUM(J48:K48)</f>
        <v>-7353.3955039999992</v>
      </c>
    </row>
    <row r="49" spans="1:12" x14ac:dyDescent="0.25">
      <c r="A49" s="405" t="s">
        <v>28</v>
      </c>
      <c r="B49" s="406"/>
      <c r="C49" s="217">
        <v>2</v>
      </c>
      <c r="D49" s="288"/>
      <c r="E49" s="218">
        <f>[0]!ADAC036500col_Group_Salary</f>
        <v>0</v>
      </c>
      <c r="F49" s="218">
        <v>0</v>
      </c>
      <c r="G49" s="218">
        <f>[0]!ADAC036500col_Group_Ben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5" t="s">
        <v>29</v>
      </c>
      <c r="B50" s="417"/>
      <c r="C50" s="217">
        <v>3</v>
      </c>
      <c r="D50" s="288">
        <f>[0]!ADAC036500col_TOTAL_ELECT_PCN_FTI</f>
        <v>0</v>
      </c>
      <c r="E50" s="218">
        <f>[0]!ADAC036500col_FTI_SALARY_ELECT</f>
        <v>0</v>
      </c>
      <c r="F50" s="218">
        <f>[0]!ADAC036500col_HEALTH_ELECT</f>
        <v>0</v>
      </c>
      <c r="G50" s="218">
        <f>[0]!ADAC036500col_TOT_VB_ELECT</f>
        <v>0</v>
      </c>
      <c r="H50" s="219">
        <f>SUM(E50:G50)</f>
        <v>0</v>
      </c>
      <c r="I50" s="268"/>
      <c r="J50" s="218">
        <f>[0]!ADAC036500col_HEALTH_ELECT_CHG</f>
        <v>0</v>
      </c>
      <c r="K50" s="218">
        <f>[0]!ADAC036500col_TOT_VB_ELECT_CHG</f>
        <v>0</v>
      </c>
      <c r="L50" s="219">
        <f>SUM(J50:K50)</f>
        <v>0</v>
      </c>
    </row>
    <row r="51" spans="1:12" x14ac:dyDescent="0.25">
      <c r="A51" s="405" t="s">
        <v>30</v>
      </c>
      <c r="B51" s="406"/>
      <c r="C51" s="217"/>
      <c r="D51" s="220">
        <f>SUM(D48:D50)</f>
        <v>24.8</v>
      </c>
      <c r="E51" s="221">
        <f>SUM(E48:E50)</f>
        <v>1500692.9600000002</v>
      </c>
      <c r="F51" s="221">
        <f>SUM(F48:F50)</f>
        <v>288920</v>
      </c>
      <c r="G51" s="221">
        <f>SUM(G48:G50)</f>
        <v>337438.50460320007</v>
      </c>
      <c r="H51" s="219">
        <f>SUM(E51:G51)</f>
        <v>2127051.4646032001</v>
      </c>
      <c r="I51" s="268"/>
      <c r="J51" s="219">
        <f>SUM(J48:J50)</f>
        <v>0</v>
      </c>
      <c r="K51" s="219">
        <f>SUM(K48:K50)</f>
        <v>-7353.3955039999992</v>
      </c>
      <c r="L51" s="219">
        <f>SUM(L48:L50)</f>
        <v>-7353.3955039999992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"&amp;'ADAC|0365-00'!FiscalYear-1</f>
        <v>FY 2022</v>
      </c>
      <c r="B53" s="158" t="s">
        <v>31</v>
      </c>
      <c r="C53" s="355">
        <v>2316300</v>
      </c>
      <c r="D53" s="55">
        <v>26.5</v>
      </c>
      <c r="E53" s="223">
        <f>IF('ADAC|0365-00'!OrigApprop=0,0,(E51/H51)*'ADAC|0365-00'!OrigApprop)</f>
        <v>1634212.9756115028</v>
      </c>
      <c r="F53" s="223">
        <f>IF('ADAC|0365-00'!OrigApprop=0,0,(F51/H51)*'ADAC|0365-00'!OrigApprop)</f>
        <v>314625.85985188821</v>
      </c>
      <c r="G53" s="223">
        <f>IF(E53=0,0,(G51/H51)*'ADAC|0365-00'!OrigApprop)</f>
        <v>367461.16453660926</v>
      </c>
      <c r="H53" s="223">
        <f>SUM(E53:G53)</f>
        <v>2316300</v>
      </c>
      <c r="I53" s="268"/>
      <c r="J53" s="224"/>
      <c r="K53" s="224"/>
      <c r="L53" s="224"/>
    </row>
    <row r="54" spans="1:12" x14ac:dyDescent="0.25">
      <c r="A54" s="423" t="s">
        <v>32</v>
      </c>
      <c r="B54" s="424"/>
      <c r="C54" s="160" t="s">
        <v>33</v>
      </c>
      <c r="D54" s="161">
        <f>D53-D51</f>
        <v>1.6999999999999993</v>
      </c>
      <c r="E54" s="162">
        <f>E53-E51</f>
        <v>133520.01561150257</v>
      </c>
      <c r="F54" s="162">
        <f>F53-F51</f>
        <v>25705.859851888206</v>
      </c>
      <c r="G54" s="162">
        <f>G53-G51</f>
        <v>30022.659933409188</v>
      </c>
      <c r="H54" s="162">
        <f>H53-H51</f>
        <v>189248.53539679991</v>
      </c>
      <c r="I54" s="269"/>
      <c r="J54" s="56" t="str">
        <f>IF('ADAC|0365-00'!OrigApprop=0,"ERROR! Enter Original Appropriation amount in DU 3.00!","Calculated "&amp;IF('ADAC|0365-00'!AdjustedTotal&gt;0,"overfunding ","underfunding ")&amp;"is "&amp;TEXT('ADAC|0365-00'!AdjustedTotal/'ADAC|0365-00'!AppropTotal,"#.0%;(#.0% );0% ;")&amp;" of Original Appropriation")</f>
        <v>Calculated overfunding is 8.2% of Original Appropriation</v>
      </c>
      <c r="K54" s="163"/>
      <c r="L54" s="164"/>
    </row>
    <row r="56" spans="1:12" x14ac:dyDescent="0.25">
      <c r="A56" s="395" t="s">
        <v>918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12" t="s">
        <v>22</v>
      </c>
      <c r="B57" s="413"/>
      <c r="C57" s="370" t="s">
        <v>23</v>
      </c>
      <c r="D57" s="49" t="s">
        <v>24</v>
      </c>
      <c r="E57" s="50" t="str">
        <f>"FY "&amp;'ADAC|0450-00'!FiscalYear-1&amp;" SALARY"</f>
        <v>FY 2022 SALARY</v>
      </c>
      <c r="F57" s="50" t="str">
        <f>"FY "&amp;'ADAC|0450-00'!FiscalYear-1&amp;" HEALTH BENEFITS"</f>
        <v>FY 2022 HEALTH BENEFITS</v>
      </c>
      <c r="G57" s="50" t="str">
        <f>"FY "&amp;'ADAC|0450-00'!FiscalYear-1&amp;" VAR BENEFITS"</f>
        <v>FY 2022 VAR BENEFITS</v>
      </c>
      <c r="H57" s="50" t="str">
        <f>"FY "&amp;'ADAC|0450-00'!FiscalYear-1&amp;" TOTAL"</f>
        <v>FY 2022 TOTAL</v>
      </c>
      <c r="I57" s="50" t="str">
        <f>"FY "&amp;'ADAC|0450-00'!FiscalYear&amp;" SALARY CHANGE"</f>
        <v>FY 2023 SALARY CHANGE</v>
      </c>
      <c r="J57" s="50" t="str">
        <f>"FY "&amp;'ADAC|0450-00'!FiscalYear&amp;" CHG HEALTH BENEFITS"</f>
        <v>FY 2023 CHG HEALTH BENEFITS</v>
      </c>
      <c r="K57" s="50" t="str">
        <f>"FY "&amp;'ADAC|0450-00'!FiscalYear&amp;" CHG VAR BENEFITS"</f>
        <v>FY 2023 CHG VAR BENEFITS</v>
      </c>
      <c r="L57" s="50" t="s">
        <v>25</v>
      </c>
    </row>
    <row r="58" spans="1:12" x14ac:dyDescent="0.25">
      <c r="A58" s="415" t="s">
        <v>26</v>
      </c>
      <c r="B58" s="41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5" t="s">
        <v>27</v>
      </c>
      <c r="B59" s="406"/>
      <c r="C59" s="217">
        <v>1</v>
      </c>
      <c r="D59" s="288">
        <f>[0]!ADAC045000col_INC_FTI</f>
        <v>34.200000000000003</v>
      </c>
      <c r="E59" s="218">
        <f>[0]!ADAC045000col_FTI_SALARY_PERM</f>
        <v>1688633.4399999997</v>
      </c>
      <c r="F59" s="218">
        <f>[0]!ADAC045000col_HEALTH_PERM</f>
        <v>398430</v>
      </c>
      <c r="G59" s="218">
        <f>[0]!ADAC045000col_TOT_VB_PERM</f>
        <v>379421.60174880002</v>
      </c>
      <c r="H59" s="219">
        <f>SUM(E59:G59)</f>
        <v>2466485.0417487998</v>
      </c>
      <c r="I59" s="219">
        <f>[0]!ADAC045000col_1_27TH_PP</f>
        <v>0</v>
      </c>
      <c r="J59" s="218">
        <f>[0]!ADAC045000col_HEALTH_PERM_CHG</f>
        <v>0</v>
      </c>
      <c r="K59" s="218">
        <f>[0]!ADAC045000col_TOT_VB_PERM_CHG</f>
        <v>-8274.3038559999986</v>
      </c>
      <c r="L59" s="218">
        <f>SUM(J59:K59)</f>
        <v>-8274.3038559999986</v>
      </c>
    </row>
    <row r="60" spans="1:12" x14ac:dyDescent="0.25">
      <c r="A60" s="405" t="s">
        <v>28</v>
      </c>
      <c r="B60" s="406"/>
      <c r="C60" s="217">
        <v>2</v>
      </c>
      <c r="D60" s="288"/>
      <c r="E60" s="218">
        <f>[0]!ADAC045000col_Group_Salary</f>
        <v>9212.15</v>
      </c>
      <c r="F60" s="218">
        <v>0</v>
      </c>
      <c r="G60" s="218">
        <f>[0]!ADAC045000col_Group_Ben</f>
        <v>2532.79</v>
      </c>
      <c r="H60" s="219">
        <f>SUM(E60:G60)</f>
        <v>11744.939999999999</v>
      </c>
      <c r="I60" s="268"/>
      <c r="J60" s="218"/>
      <c r="K60" s="218"/>
      <c r="L60" s="218"/>
    </row>
    <row r="61" spans="1:12" x14ac:dyDescent="0.25">
      <c r="A61" s="405" t="s">
        <v>29</v>
      </c>
      <c r="B61" s="417"/>
      <c r="C61" s="217">
        <v>3</v>
      </c>
      <c r="D61" s="288">
        <f>[0]!ADAC045000col_TOTAL_ELECT_PCN_FTI</f>
        <v>0</v>
      </c>
      <c r="E61" s="218">
        <f>[0]!ADAC045000col_FTI_SALARY_ELECT</f>
        <v>0</v>
      </c>
      <c r="F61" s="218">
        <f>[0]!ADAC045000col_HEALTH_ELECT</f>
        <v>0</v>
      </c>
      <c r="G61" s="218">
        <f>[0]!ADAC045000col_TOT_VB_ELECT</f>
        <v>0</v>
      </c>
      <c r="H61" s="219">
        <f>SUM(E61:G61)</f>
        <v>0</v>
      </c>
      <c r="I61" s="268"/>
      <c r="J61" s="218">
        <f>[0]!ADAC045000col_HEALTH_ELECT_CHG</f>
        <v>0</v>
      </c>
      <c r="K61" s="218">
        <f>[0]!ADAC045000col_TOT_VB_ELECT_CHG</f>
        <v>0</v>
      </c>
      <c r="L61" s="219">
        <f>SUM(J61:K61)</f>
        <v>0</v>
      </c>
    </row>
    <row r="62" spans="1:12" x14ac:dyDescent="0.25">
      <c r="A62" s="405" t="s">
        <v>30</v>
      </c>
      <c r="B62" s="406"/>
      <c r="C62" s="217"/>
      <c r="D62" s="220">
        <f>SUM(D59:D61)</f>
        <v>34.200000000000003</v>
      </c>
      <c r="E62" s="221">
        <f>SUM(E59:E61)</f>
        <v>1697845.5899999996</v>
      </c>
      <c r="F62" s="221">
        <f>SUM(F59:F61)</f>
        <v>398430</v>
      </c>
      <c r="G62" s="221">
        <f>SUM(G59:G61)</f>
        <v>381954.3917488</v>
      </c>
      <c r="H62" s="219">
        <f>SUM(E62:G62)</f>
        <v>2478229.9817487998</v>
      </c>
      <c r="I62" s="268"/>
      <c r="J62" s="219">
        <f>SUM(J59:J61)</f>
        <v>0</v>
      </c>
      <c r="K62" s="219">
        <f>SUM(K59:K61)</f>
        <v>-8274.3038559999986</v>
      </c>
      <c r="L62" s="219">
        <f>SUM(L59:L61)</f>
        <v>-8274.3038559999986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"&amp;'ADAC|0450-00'!FiscalYear-1</f>
        <v>FY 2022</v>
      </c>
      <c r="B64" s="158" t="s">
        <v>31</v>
      </c>
      <c r="C64" s="355">
        <v>2763000</v>
      </c>
      <c r="D64" s="55">
        <v>36.5</v>
      </c>
      <c r="E64" s="223">
        <f>IF('ADAC|0450-00'!OrigApprop=0,0,(E62/H62)*'ADAC|0450-00'!OrigApprop)</f>
        <v>1892942.704962201</v>
      </c>
      <c r="F64" s="223">
        <f>IF('ADAC|0450-00'!OrigApprop=0,0,(F62/H62)*'ADAC|0450-00'!OrigApprop)</f>
        <v>444213.04645146785</v>
      </c>
      <c r="G64" s="223">
        <f>IF(E64=0,0,(G62/H62)*'ADAC|0450-00'!OrigApprop)</f>
        <v>425844.24858633097</v>
      </c>
      <c r="H64" s="223">
        <f>SUM(E64:G64)</f>
        <v>2763000</v>
      </c>
      <c r="I64" s="268"/>
      <c r="J64" s="224"/>
      <c r="K64" s="224"/>
      <c r="L64" s="224"/>
    </row>
    <row r="65" spans="1:12" x14ac:dyDescent="0.25">
      <c r="A65" s="423" t="s">
        <v>32</v>
      </c>
      <c r="B65" s="424"/>
      <c r="C65" s="160" t="s">
        <v>33</v>
      </c>
      <c r="D65" s="161">
        <f>D64-D62</f>
        <v>2.2999999999999972</v>
      </c>
      <c r="E65" s="162">
        <f>E64-E62</f>
        <v>195097.11496220133</v>
      </c>
      <c r="F65" s="162">
        <f>F64-F62</f>
        <v>45783.046451467846</v>
      </c>
      <c r="G65" s="162">
        <f>G64-G62</f>
        <v>43889.85683753097</v>
      </c>
      <c r="H65" s="162">
        <f>H64-H62</f>
        <v>284770.01825120021</v>
      </c>
      <c r="I65" s="269"/>
      <c r="J65" s="56" t="str">
        <f>IF('ADAC|0450-00'!OrigApprop=0,"ERROR! Enter Original Appropriation amount in DU 3.00!","Calculated "&amp;IF('ADAC|0450-00'!AdjustedTotal&gt;0,"overfunding ","underfunding ")&amp;"is "&amp;TEXT('ADAC|0450-00'!AdjustedTotal/'ADAC|0450-00'!AppropTotal,"#.0%;(#.0% );0% ;")&amp;" of Original Appropriation")</f>
        <v>Calculated overfunding is 10.3% of Original Appropriation</v>
      </c>
      <c r="K65" s="163"/>
      <c r="L65" s="164"/>
    </row>
    <row r="67" spans="1:12" x14ac:dyDescent="0.25">
      <c r="A67" s="395" t="s">
        <v>926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12" t="s">
        <v>22</v>
      </c>
      <c r="B68" s="413"/>
      <c r="C68" s="370" t="s">
        <v>23</v>
      </c>
      <c r="D68" s="49" t="s">
        <v>24</v>
      </c>
      <c r="E68" s="50" t="str">
        <f>"FY "&amp;'ADAD|0450-00'!FiscalYear-1&amp;" SALARY"</f>
        <v>FY 2022 SALARY</v>
      </c>
      <c r="F68" s="50" t="str">
        <f>"FY "&amp;'ADAD|0450-00'!FiscalYear-1&amp;" HEALTH BENEFITS"</f>
        <v>FY 2022 HEALTH BENEFITS</v>
      </c>
      <c r="G68" s="50" t="str">
        <f>"FY "&amp;'ADAD|0450-00'!FiscalYear-1&amp;" VAR BENEFITS"</f>
        <v>FY 2022 VAR BENEFITS</v>
      </c>
      <c r="H68" s="50" t="str">
        <f>"FY "&amp;'ADAD|0450-00'!FiscalYear-1&amp;" TOTAL"</f>
        <v>FY 2022 TOTAL</v>
      </c>
      <c r="I68" s="50" t="str">
        <f>"FY "&amp;'ADAD|0450-00'!FiscalYear&amp;" SALARY CHANGE"</f>
        <v>FY 2023 SALARY CHANGE</v>
      </c>
      <c r="J68" s="50" t="str">
        <f>"FY "&amp;'ADAD|0450-00'!FiscalYear&amp;" CHG HEALTH BENEFITS"</f>
        <v>FY 2023 CHG HEALTH BENEFITS</v>
      </c>
      <c r="K68" s="50" t="str">
        <f>"FY "&amp;'ADAD|0450-00'!FiscalYear&amp;" CHG VAR BENEFITS"</f>
        <v>FY 2023 CHG VAR BENEFITS</v>
      </c>
      <c r="L68" s="50" t="s">
        <v>25</v>
      </c>
    </row>
    <row r="69" spans="1:12" x14ac:dyDescent="0.25">
      <c r="A69" s="415" t="s">
        <v>26</v>
      </c>
      <c r="B69" s="416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5" t="s">
        <v>27</v>
      </c>
      <c r="B70" s="406"/>
      <c r="C70" s="217">
        <v>1</v>
      </c>
      <c r="D70" s="288">
        <f>[0]!ADAD045000col_INC_FTI</f>
        <v>18.080000000000002</v>
      </c>
      <c r="E70" s="218">
        <f>[0]!ADAD045000col_FTI_SALARY_PERM</f>
        <v>987669.6399999999</v>
      </c>
      <c r="F70" s="218">
        <f>[0]!ADAD045000col_HEALTH_PERM</f>
        <v>210632</v>
      </c>
      <c r="G70" s="218">
        <f>[0]!ADAD045000col_TOT_VB_PERM</f>
        <v>221889.89203080005</v>
      </c>
      <c r="H70" s="219">
        <f>SUM(E70:G70)</f>
        <v>1420191.5320307999</v>
      </c>
      <c r="I70" s="219">
        <f>[0]!ADAD045000col_1_27TH_PP</f>
        <v>0</v>
      </c>
      <c r="J70" s="218">
        <f>[0]!ADAD045000col_HEALTH_PERM_CHG</f>
        <v>0</v>
      </c>
      <c r="K70" s="218">
        <f>[0]!ADAD045000col_TOT_VB_PERM_CHG</f>
        <v>-4839.581236</v>
      </c>
      <c r="L70" s="218">
        <f>SUM(J70:K70)</f>
        <v>-4839.581236</v>
      </c>
    </row>
    <row r="71" spans="1:12" x14ac:dyDescent="0.25">
      <c r="A71" s="405" t="s">
        <v>28</v>
      </c>
      <c r="B71" s="406"/>
      <c r="C71" s="217">
        <v>2</v>
      </c>
      <c r="D71" s="288"/>
      <c r="E71" s="218">
        <f>[0]!ADAD045000col_Group_Salary</f>
        <v>1140</v>
      </c>
      <c r="F71" s="218">
        <v>0</v>
      </c>
      <c r="G71" s="218">
        <f>[0]!ADAD045000col_Group_Ben</f>
        <v>97.37</v>
      </c>
      <c r="H71" s="219">
        <f>SUM(E71:G71)</f>
        <v>1237.3699999999999</v>
      </c>
      <c r="I71" s="268"/>
      <c r="J71" s="218"/>
      <c r="K71" s="218"/>
      <c r="L71" s="218"/>
    </row>
    <row r="72" spans="1:12" x14ac:dyDescent="0.25">
      <c r="A72" s="405" t="s">
        <v>29</v>
      </c>
      <c r="B72" s="417"/>
      <c r="C72" s="217">
        <v>3</v>
      </c>
      <c r="D72" s="288">
        <f>[0]!ADAD045000col_TOTAL_ELECT_PCN_FTI</f>
        <v>0</v>
      </c>
      <c r="E72" s="218">
        <f>[0]!ADAD045000col_FTI_SALARY_ELECT</f>
        <v>0</v>
      </c>
      <c r="F72" s="218">
        <f>[0]!ADAD045000col_HEALTH_ELECT</f>
        <v>0</v>
      </c>
      <c r="G72" s="218">
        <f>[0]!ADAD045000col_TOT_VB_ELECT</f>
        <v>0</v>
      </c>
      <c r="H72" s="219">
        <f>SUM(E72:G72)</f>
        <v>0</v>
      </c>
      <c r="I72" s="268"/>
      <c r="J72" s="218">
        <f>[0]!ADAD045000col_HEALTH_ELECT_CHG</f>
        <v>0</v>
      </c>
      <c r="K72" s="218">
        <f>[0]!ADAD045000col_TOT_VB_ELECT_CHG</f>
        <v>0</v>
      </c>
      <c r="L72" s="219">
        <f>SUM(J72:K72)</f>
        <v>0</v>
      </c>
    </row>
    <row r="73" spans="1:12" x14ac:dyDescent="0.25">
      <c r="A73" s="405" t="s">
        <v>30</v>
      </c>
      <c r="B73" s="406"/>
      <c r="C73" s="217"/>
      <c r="D73" s="220">
        <f>SUM(D70:D72)</f>
        <v>18.080000000000002</v>
      </c>
      <c r="E73" s="221">
        <f>SUM(E70:E72)</f>
        <v>988809.6399999999</v>
      </c>
      <c r="F73" s="221">
        <f>SUM(F70:F72)</f>
        <v>210632</v>
      </c>
      <c r="G73" s="221">
        <f>SUM(G70:G72)</f>
        <v>221987.26203080005</v>
      </c>
      <c r="H73" s="219">
        <f>SUM(E73:G73)</f>
        <v>1421428.9020308</v>
      </c>
      <c r="I73" s="268"/>
      <c r="J73" s="219">
        <f>SUM(J70:J72)</f>
        <v>0</v>
      </c>
      <c r="K73" s="219">
        <f>SUM(K70:K72)</f>
        <v>-4839.581236</v>
      </c>
      <c r="L73" s="219">
        <f>SUM(L70:L72)</f>
        <v>-4839.581236</v>
      </c>
    </row>
    <row r="74" spans="1:12" x14ac:dyDescent="0.25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"&amp;'ADAD|0450-00'!FiscalYear-1</f>
        <v>FY 2022</v>
      </c>
      <c r="B75" s="158" t="s">
        <v>31</v>
      </c>
      <c r="C75" s="355">
        <v>1333200</v>
      </c>
      <c r="D75" s="55">
        <v>16</v>
      </c>
      <c r="E75" s="223">
        <f>IF('ADAD|0450-00'!OrigApprop=0,0,(E73/H73)*'ADAD|0450-00'!OrigApprop)</f>
        <v>927433.66211603524</v>
      </c>
      <c r="F75" s="223">
        <f>IF('ADAD|0450-00'!OrigApprop=0,0,(F73/H73)*'ADAD|0450-00'!OrigApprop)</f>
        <v>197557.95171942774</v>
      </c>
      <c r="G75" s="223">
        <f>IF(E75=0,0,(G73/H73)*'ADAD|0450-00'!OrigApprop)</f>
        <v>208208.38616453699</v>
      </c>
      <c r="H75" s="223">
        <f>SUM(E75:G75)</f>
        <v>1333200</v>
      </c>
      <c r="I75" s="268"/>
      <c r="J75" s="224"/>
      <c r="K75" s="224"/>
      <c r="L75" s="224"/>
    </row>
    <row r="76" spans="1:12" x14ac:dyDescent="0.25">
      <c r="A76" s="423" t="s">
        <v>32</v>
      </c>
      <c r="B76" s="424"/>
      <c r="C76" s="160" t="s">
        <v>33</v>
      </c>
      <c r="D76" s="161">
        <f>D75-D73</f>
        <v>-2.0800000000000018</v>
      </c>
      <c r="E76" s="162">
        <f>E75-E73</f>
        <v>-61375.977883964661</v>
      </c>
      <c r="F76" s="162">
        <f>F75-F73</f>
        <v>-13074.048280572257</v>
      </c>
      <c r="G76" s="162">
        <f>G75-G73</f>
        <v>-13778.875866263057</v>
      </c>
      <c r="H76" s="162">
        <f>H75-H73</f>
        <v>-88228.902030800004</v>
      </c>
      <c r="I76" s="269"/>
      <c r="J76" s="56" t="str">
        <f>IF('ADAD|0450-00'!OrigApprop=0,"ERROR! Enter Original Appropriation amount in DU 3.00!","Calculated "&amp;IF('ADAD|0450-00'!AdjustedTotal&gt;0,"overfunding ","underfunding ")&amp;"is "&amp;TEXT('ADAD|0450-00'!AdjustedTotal/'ADAD|0450-00'!AppropTotal,"#.0%;(#.0% );0% ;")&amp;" of Original Appropriation")</f>
        <v>Calculated underfunding is (6.6% ) of Original Appropriation</v>
      </c>
      <c r="K76" s="163"/>
      <c r="L76" s="164"/>
    </row>
    <row r="78" spans="1:12" x14ac:dyDescent="0.25">
      <c r="A78" s="395" t="s">
        <v>932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</row>
    <row r="79" spans="1:12" ht="39" x14ac:dyDescent="0.25">
      <c r="A79" s="412" t="s">
        <v>22</v>
      </c>
      <c r="B79" s="413"/>
      <c r="C79" s="370" t="s">
        <v>23</v>
      </c>
      <c r="D79" s="49" t="s">
        <v>24</v>
      </c>
      <c r="E79" s="50" t="str">
        <f>"FY "&amp;'ADAD|0456-00'!FiscalYear-1&amp;" SALARY"</f>
        <v>FY 2022 SALARY</v>
      </c>
      <c r="F79" s="50" t="str">
        <f>"FY "&amp;'ADAD|0456-00'!FiscalYear-1&amp;" HEALTH BENEFITS"</f>
        <v>FY 2022 HEALTH BENEFITS</v>
      </c>
      <c r="G79" s="50" t="str">
        <f>"FY "&amp;'ADAD|0456-00'!FiscalYear-1&amp;" VAR BENEFITS"</f>
        <v>FY 2022 VAR BENEFITS</v>
      </c>
      <c r="H79" s="50" t="str">
        <f>"FY "&amp;'ADAD|0456-00'!FiscalYear-1&amp;" TOTAL"</f>
        <v>FY 2022 TOTAL</v>
      </c>
      <c r="I79" s="50" t="str">
        <f>"FY "&amp;'ADAD|0456-00'!FiscalYear&amp;" SALARY CHANGE"</f>
        <v>FY 2023 SALARY CHANGE</v>
      </c>
      <c r="J79" s="50" t="str">
        <f>"FY "&amp;'ADAD|0456-00'!FiscalYear&amp;" CHG HEALTH BENEFITS"</f>
        <v>FY 2023 CHG HEALTH BENEFITS</v>
      </c>
      <c r="K79" s="50" t="str">
        <f>"FY "&amp;'ADAD|0456-00'!FiscalYear&amp;" CHG VAR BENEFITS"</f>
        <v>FY 2023 CHG VAR BENEFITS</v>
      </c>
      <c r="L79" s="50" t="s">
        <v>25</v>
      </c>
    </row>
    <row r="80" spans="1:12" x14ac:dyDescent="0.25">
      <c r="A80" s="415" t="s">
        <v>26</v>
      </c>
      <c r="B80" s="416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05" t="s">
        <v>27</v>
      </c>
      <c r="B81" s="406"/>
      <c r="C81" s="217">
        <v>1</v>
      </c>
      <c r="D81" s="288">
        <f>[0]!ADAD045600col_INC_FTI</f>
        <v>2</v>
      </c>
      <c r="E81" s="218">
        <f>[0]!ADAD045600col_FTI_SALARY_PERM</f>
        <v>84552</v>
      </c>
      <c r="F81" s="218">
        <f>[0]!ADAD045600col_HEALTH_PERM</f>
        <v>23300</v>
      </c>
      <c r="G81" s="218">
        <f>[0]!ADAD045600col_TOT_VB_PERM</f>
        <v>19021.66344</v>
      </c>
      <c r="H81" s="219">
        <f>SUM(E81:G81)</f>
        <v>126873.66344</v>
      </c>
      <c r="I81" s="219">
        <f>[0]!ADAD045600col_1_27TH_PP</f>
        <v>0</v>
      </c>
      <c r="J81" s="218">
        <f>[0]!ADAD045600col_HEALTH_PERM_CHG</f>
        <v>0</v>
      </c>
      <c r="K81" s="218">
        <f>[0]!ADAD045600col_TOT_VB_PERM_CHG</f>
        <v>-414.3048</v>
      </c>
      <c r="L81" s="218">
        <f>SUM(J81:K81)</f>
        <v>-414.3048</v>
      </c>
    </row>
    <row r="82" spans="1:12" x14ac:dyDescent="0.25">
      <c r="A82" s="405" t="s">
        <v>28</v>
      </c>
      <c r="B82" s="406"/>
      <c r="C82" s="217">
        <v>2</v>
      </c>
      <c r="D82" s="288"/>
      <c r="E82" s="218">
        <f>[0]!ADAD045600col_Group_Salary</f>
        <v>6480</v>
      </c>
      <c r="F82" s="218">
        <v>0</v>
      </c>
      <c r="G82" s="218">
        <f>[0]!ADAD045600col_Group_Ben</f>
        <v>920.75</v>
      </c>
      <c r="H82" s="219">
        <f>SUM(E82:G82)</f>
        <v>7400.75</v>
      </c>
      <c r="I82" s="268"/>
      <c r="J82" s="218"/>
      <c r="K82" s="218"/>
      <c r="L82" s="218"/>
    </row>
    <row r="83" spans="1:12" x14ac:dyDescent="0.25">
      <c r="A83" s="405" t="s">
        <v>29</v>
      </c>
      <c r="B83" s="417"/>
      <c r="C83" s="217">
        <v>3</v>
      </c>
      <c r="D83" s="288">
        <f>[0]!ADAD045600col_TOTAL_ELECT_PCN_FTI</f>
        <v>0</v>
      </c>
      <c r="E83" s="218">
        <f>[0]!ADAD045600col_FTI_SALARY_ELECT</f>
        <v>0</v>
      </c>
      <c r="F83" s="218">
        <f>[0]!ADAD045600col_HEALTH_ELECT</f>
        <v>0</v>
      </c>
      <c r="G83" s="218">
        <f>[0]!ADAD045600col_TOT_VB_ELECT</f>
        <v>0</v>
      </c>
      <c r="H83" s="219">
        <f>SUM(E83:G83)</f>
        <v>0</v>
      </c>
      <c r="I83" s="268"/>
      <c r="J83" s="218">
        <f>[0]!ADAD045600col_HEALTH_ELECT_CHG</f>
        <v>0</v>
      </c>
      <c r="K83" s="218">
        <f>[0]!ADAD045600col_TOT_VB_ELECT_CHG</f>
        <v>0</v>
      </c>
      <c r="L83" s="219">
        <f>SUM(J83:K83)</f>
        <v>0</v>
      </c>
    </row>
    <row r="84" spans="1:12" x14ac:dyDescent="0.25">
      <c r="A84" s="405" t="s">
        <v>30</v>
      </c>
      <c r="B84" s="406"/>
      <c r="C84" s="217"/>
      <c r="D84" s="220">
        <f>SUM(D81:D83)</f>
        <v>2</v>
      </c>
      <c r="E84" s="221">
        <f>SUM(E81:E83)</f>
        <v>91032</v>
      </c>
      <c r="F84" s="221">
        <f>SUM(F81:F83)</f>
        <v>23300</v>
      </c>
      <c r="G84" s="221">
        <f>SUM(G81:G83)</f>
        <v>19942.41344</v>
      </c>
      <c r="H84" s="219">
        <f>SUM(E84:G84)</f>
        <v>134274.41344</v>
      </c>
      <c r="I84" s="268"/>
      <c r="J84" s="219">
        <f>SUM(J81:J83)</f>
        <v>0</v>
      </c>
      <c r="K84" s="219">
        <f>SUM(K81:K83)</f>
        <v>-414.3048</v>
      </c>
      <c r="L84" s="219">
        <f>SUM(L81:L83)</f>
        <v>-414.3048</v>
      </c>
    </row>
    <row r="85" spans="1:12" x14ac:dyDescent="0.25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"&amp;'ADAD|0456-00'!FiscalYear-1</f>
        <v>FY 2022</v>
      </c>
      <c r="B86" s="158" t="s">
        <v>31</v>
      </c>
      <c r="C86" s="355">
        <v>194900</v>
      </c>
      <c r="D86" s="55">
        <v>3.08</v>
      </c>
      <c r="E86" s="223">
        <f>IF('ADAD|0456-00'!OrigApprop=0,0,(E84/H84)*'ADAD|0456-00'!OrigApprop)</f>
        <v>132133.41503761624</v>
      </c>
      <c r="F86" s="223">
        <f>IF('ADAD|0456-00'!OrigApprop=0,0,(F84/H84)*'ADAD|0456-00'!OrigApprop)</f>
        <v>33820.0695401228</v>
      </c>
      <c r="G86" s="223">
        <f>IF(E86=0,0,(G84/H84)*'ADAD|0456-00'!OrigApprop)</f>
        <v>28946.515422260924</v>
      </c>
      <c r="H86" s="223">
        <f>SUM(E86:G86)</f>
        <v>194899.99999999994</v>
      </c>
      <c r="I86" s="268"/>
      <c r="J86" s="224"/>
      <c r="K86" s="224"/>
      <c r="L86" s="224"/>
    </row>
    <row r="87" spans="1:12" x14ac:dyDescent="0.25">
      <c r="A87" s="423" t="s">
        <v>32</v>
      </c>
      <c r="B87" s="424"/>
      <c r="C87" s="160" t="s">
        <v>33</v>
      </c>
      <c r="D87" s="161">
        <f>D86-D84</f>
        <v>1.08</v>
      </c>
      <c r="E87" s="162">
        <f>E86-E84</f>
        <v>41101.415037616243</v>
      </c>
      <c r="F87" s="162">
        <f>F86-F84</f>
        <v>10520.0695401228</v>
      </c>
      <c r="G87" s="162">
        <f>G86-G84</f>
        <v>9004.1019822609233</v>
      </c>
      <c r="H87" s="162">
        <f>H86-H84</f>
        <v>60625.586559999938</v>
      </c>
      <c r="I87" s="269"/>
      <c r="J87" s="56" t="str">
        <f>IF('ADAD|0456-00'!OrigApprop=0,"ERROR! Enter Original Appropriation amount in DU 3.00!","Calculated "&amp;IF('ADAD|0456-00'!AdjustedTotal&gt;0,"overfunding ","underfunding ")&amp;"is "&amp;TEXT('ADAD|0456-00'!AdjustedTotal/'ADAD|0456-00'!AppropTotal,"#.0%;(#.0% );0% ;")&amp;" of Original Appropriation")</f>
        <v>Calculated overfunding is 31.1% of Original Appropriation</v>
      </c>
      <c r="K87" s="163"/>
      <c r="L87" s="164"/>
    </row>
    <row r="89" spans="1:12" x14ac:dyDescent="0.25">
      <c r="A89" s="395" t="s">
        <v>953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</row>
    <row r="90" spans="1:12" ht="39" x14ac:dyDescent="0.25">
      <c r="A90" s="412" t="s">
        <v>22</v>
      </c>
      <c r="B90" s="413"/>
      <c r="C90" s="370" t="s">
        <v>23</v>
      </c>
      <c r="D90" s="49" t="s">
        <v>24</v>
      </c>
      <c r="E90" s="50" t="str">
        <f>"FY "&amp;'ADAK|0461-00'!FiscalYear-1&amp;" SALARY"</f>
        <v>FY 2022 SALARY</v>
      </c>
      <c r="F90" s="50" t="str">
        <f>"FY "&amp;'ADAK|0461-00'!FiscalYear-1&amp;" HEALTH BENEFITS"</f>
        <v>FY 2022 HEALTH BENEFITS</v>
      </c>
      <c r="G90" s="50" t="str">
        <f>"FY "&amp;'ADAK|0461-00'!FiscalYear-1&amp;" VAR BENEFITS"</f>
        <v>FY 2022 VAR BENEFITS</v>
      </c>
      <c r="H90" s="50" t="str">
        <f>"FY "&amp;'ADAK|0461-00'!FiscalYear-1&amp;" TOTAL"</f>
        <v>FY 2022 TOTAL</v>
      </c>
      <c r="I90" s="50" t="str">
        <f>"FY "&amp;'ADAK|0461-00'!FiscalYear&amp;" SALARY CHANGE"</f>
        <v>FY 2023 SALARY CHANGE</v>
      </c>
      <c r="J90" s="50" t="str">
        <f>"FY "&amp;'ADAK|0461-00'!FiscalYear&amp;" CHG HEALTH BENEFITS"</f>
        <v>FY 2023 CHG HEALTH BENEFITS</v>
      </c>
      <c r="K90" s="50" t="str">
        <f>"FY "&amp;'ADAK|0461-00'!FiscalYear&amp;" CHG VAR BENEFITS"</f>
        <v>FY 2023 CHG VAR BENEFITS</v>
      </c>
      <c r="L90" s="50" t="s">
        <v>25</v>
      </c>
    </row>
    <row r="91" spans="1:12" x14ac:dyDescent="0.25">
      <c r="A91" s="415" t="s">
        <v>26</v>
      </c>
      <c r="B91" s="416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05" t="s">
        <v>27</v>
      </c>
      <c r="B92" s="406"/>
      <c r="C92" s="217">
        <v>1</v>
      </c>
      <c r="D92" s="288">
        <f>[0]!ADAK046100col_INC_FTI</f>
        <v>5.0600000000000005</v>
      </c>
      <c r="E92" s="218">
        <f>[0]!ADAK046100col_FTI_SALARY_PERM</f>
        <v>292792.02999999997</v>
      </c>
      <c r="F92" s="218">
        <f>[0]!ADAK046100col_HEALTH_PERM</f>
        <v>58949</v>
      </c>
      <c r="G92" s="218">
        <f>[0]!ADAK046100col_TOT_VB_PERM</f>
        <v>65806.252190300002</v>
      </c>
      <c r="H92" s="219">
        <f>SUM(E92:G92)</f>
        <v>417547.28219029994</v>
      </c>
      <c r="I92" s="219">
        <f>[0]!ADAK046100col_1_27TH_PP</f>
        <v>0</v>
      </c>
      <c r="J92" s="218">
        <f>[0]!ADAK046100col_HEALTH_PERM_CHG</f>
        <v>0</v>
      </c>
      <c r="K92" s="218">
        <f>[0]!ADAK046100col_TOT_VB_PERM_CHG</f>
        <v>-1395.7944</v>
      </c>
      <c r="L92" s="218">
        <f>SUM(J92:K92)</f>
        <v>-1395.7944</v>
      </c>
    </row>
    <row r="93" spans="1:12" x14ac:dyDescent="0.25">
      <c r="A93" s="405" t="s">
        <v>28</v>
      </c>
      <c r="B93" s="406"/>
      <c r="C93" s="217">
        <v>2</v>
      </c>
      <c r="D93" s="288"/>
      <c r="E93" s="218">
        <f>[0]!ADAK046100col_Group_Salary</f>
        <v>0</v>
      </c>
      <c r="F93" s="218">
        <v>0</v>
      </c>
      <c r="G93" s="218">
        <f>[0]!ADAK046100col_Group_Ben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25">
      <c r="A94" s="405" t="s">
        <v>29</v>
      </c>
      <c r="B94" s="417"/>
      <c r="C94" s="217">
        <v>3</v>
      </c>
      <c r="D94" s="288">
        <f>[0]!ADAK046100col_TOTAL_ELECT_PCN_FTI</f>
        <v>0</v>
      </c>
      <c r="E94" s="218">
        <f>[0]!ADAK046100col_FTI_SALARY_ELECT</f>
        <v>0</v>
      </c>
      <c r="F94" s="218">
        <f>[0]!ADAK046100col_HEALTH_ELECT</f>
        <v>0</v>
      </c>
      <c r="G94" s="218">
        <f>[0]!ADAK046100col_TOT_VB_ELECT</f>
        <v>0</v>
      </c>
      <c r="H94" s="219">
        <f>SUM(E94:G94)</f>
        <v>0</v>
      </c>
      <c r="I94" s="268"/>
      <c r="J94" s="218">
        <f>[0]!ADAK046100col_HEALTH_ELECT_CHG</f>
        <v>0</v>
      </c>
      <c r="K94" s="218">
        <f>[0]!ADAK046100col_TOT_VB_ELECT_CHG</f>
        <v>0</v>
      </c>
      <c r="L94" s="219">
        <f>SUM(J94:K94)</f>
        <v>0</v>
      </c>
    </row>
    <row r="95" spans="1:12" x14ac:dyDescent="0.25">
      <c r="A95" s="405" t="s">
        <v>30</v>
      </c>
      <c r="B95" s="406"/>
      <c r="C95" s="217"/>
      <c r="D95" s="220">
        <f>SUM(D92:D94)</f>
        <v>5.0600000000000005</v>
      </c>
      <c r="E95" s="221">
        <f>SUM(E92:E94)</f>
        <v>292792.02999999997</v>
      </c>
      <c r="F95" s="221">
        <f>SUM(F92:F94)</f>
        <v>58949</v>
      </c>
      <c r="G95" s="221">
        <f>SUM(G92:G94)</f>
        <v>65806.252190300002</v>
      </c>
      <c r="H95" s="219">
        <f>SUM(E95:G95)</f>
        <v>417547.28219029994</v>
      </c>
      <c r="I95" s="268"/>
      <c r="J95" s="219">
        <f>SUM(J92:J94)</f>
        <v>0</v>
      </c>
      <c r="K95" s="219">
        <f>SUM(K92:K94)</f>
        <v>-1395.7944</v>
      </c>
      <c r="L95" s="219">
        <f>SUM(L92:L94)</f>
        <v>-1395.7944</v>
      </c>
    </row>
    <row r="96" spans="1:12" x14ac:dyDescent="0.25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"&amp;'ADAK|0461-00'!FiscalYear-1</f>
        <v>FY 2022</v>
      </c>
      <c r="B97" s="158" t="s">
        <v>31</v>
      </c>
      <c r="C97" s="355">
        <v>452400</v>
      </c>
      <c r="D97" s="55">
        <v>5.05</v>
      </c>
      <c r="E97" s="223">
        <f>IF('ADAK|0461-00'!OrigApprop=0,0,(E95/H95)*'ADAK|0461-00'!OrigApprop)</f>
        <v>317231.41311606206</v>
      </c>
      <c r="F97" s="223">
        <f>IF('ADAK|0461-00'!OrigApprop=0,0,(F95/H95)*'ADAK|0461-00'!OrigApprop)</f>
        <v>63869.479547577663</v>
      </c>
      <c r="G97" s="223">
        <f>IF(E97=0,0,(G95/H95)*'ADAK|0461-00'!OrigApprop)</f>
        <v>71299.107336360306</v>
      </c>
      <c r="H97" s="223">
        <f>SUM(E97:G97)</f>
        <v>452400.00000000006</v>
      </c>
      <c r="I97" s="268"/>
      <c r="J97" s="224"/>
      <c r="K97" s="224"/>
      <c r="L97" s="224"/>
    </row>
    <row r="98" spans="1:12" x14ac:dyDescent="0.25">
      <c r="A98" s="423" t="s">
        <v>32</v>
      </c>
      <c r="B98" s="424"/>
      <c r="C98" s="160" t="s">
        <v>33</v>
      </c>
      <c r="D98" s="161">
        <f>D97-D95</f>
        <v>-1.0000000000000675E-2</v>
      </c>
      <c r="E98" s="162">
        <f>E97-E95</f>
        <v>24439.38311606209</v>
      </c>
      <c r="F98" s="162">
        <f>F97-F95</f>
        <v>4920.4795475776627</v>
      </c>
      <c r="G98" s="162">
        <f>G97-G95</f>
        <v>5492.8551460603048</v>
      </c>
      <c r="H98" s="162">
        <f>H97-H95</f>
        <v>34852.717809700116</v>
      </c>
      <c r="I98" s="269"/>
      <c r="J98" s="56" t="str">
        <f>IF('ADAK|0461-00'!OrigApprop=0,"ERROR! Enter Original Appropriation amount in DU 3.00!","Calculated "&amp;IF('ADAK|0461-00'!AdjustedTotal&gt;0,"overfunding ","underfunding ")&amp;"is "&amp;TEXT('ADAK|0461-00'!AdjustedTotal/'ADAK|0461-00'!AppropTotal,"#.0%;(#.0% );0% ;")&amp;" of Original Appropriation")</f>
        <v>Calculated overfunding is 7.7% of Original Appropriation</v>
      </c>
      <c r="K98" s="163"/>
      <c r="L98" s="164"/>
    </row>
    <row r="100" spans="1:12" x14ac:dyDescent="0.25">
      <c r="A100" s="395" t="s">
        <v>957</v>
      </c>
      <c r="B100" s="395"/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</row>
    <row r="101" spans="1:12" ht="39" x14ac:dyDescent="0.25">
      <c r="A101" s="412" t="s">
        <v>22</v>
      </c>
      <c r="B101" s="413"/>
      <c r="C101" s="370" t="s">
        <v>23</v>
      </c>
      <c r="D101" s="49" t="s">
        <v>24</v>
      </c>
      <c r="E101" s="50" t="str">
        <f>"FY "&amp;'ADAK|0462-00'!FiscalYear-1&amp;" SALARY"</f>
        <v>FY 2022 SALARY</v>
      </c>
      <c r="F101" s="50" t="str">
        <f>"FY "&amp;'ADAK|0462-00'!FiscalYear-1&amp;" HEALTH BENEFITS"</f>
        <v>FY 2022 HEALTH BENEFITS</v>
      </c>
      <c r="G101" s="50" t="str">
        <f>"FY "&amp;'ADAK|0462-00'!FiscalYear-1&amp;" VAR BENEFITS"</f>
        <v>FY 2022 VAR BENEFITS</v>
      </c>
      <c r="H101" s="50" t="str">
        <f>"FY "&amp;'ADAK|0462-00'!FiscalYear-1&amp;" TOTAL"</f>
        <v>FY 2022 TOTAL</v>
      </c>
      <c r="I101" s="50" t="str">
        <f>"FY "&amp;'ADAK|0462-00'!FiscalYear&amp;" SALARY CHANGE"</f>
        <v>FY 2023 SALARY CHANGE</v>
      </c>
      <c r="J101" s="50" t="str">
        <f>"FY "&amp;'ADAK|0462-00'!FiscalYear&amp;" CHG HEALTH BENEFITS"</f>
        <v>FY 2023 CHG HEALTH BENEFITS</v>
      </c>
      <c r="K101" s="50" t="str">
        <f>"FY "&amp;'ADAK|0462-00'!FiscalYear&amp;" CHG VAR BENEFITS"</f>
        <v>FY 2023 CHG VAR BENEFITS</v>
      </c>
      <c r="L101" s="50" t="s">
        <v>25</v>
      </c>
    </row>
    <row r="102" spans="1:12" x14ac:dyDescent="0.25">
      <c r="A102" s="415" t="s">
        <v>26</v>
      </c>
      <c r="B102" s="416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05" t="s">
        <v>27</v>
      </c>
      <c r="B103" s="406"/>
      <c r="C103" s="217">
        <v>1</v>
      </c>
      <c r="D103" s="288">
        <f>[0]!ADAK046200col_INC_FTI</f>
        <v>7.1</v>
      </c>
      <c r="E103" s="218">
        <f>[0]!ADAK046200col_FTI_SALARY_PERM</f>
        <v>454477.92</v>
      </c>
      <c r="F103" s="218">
        <f>[0]!ADAK046200col_HEALTH_PERM</f>
        <v>82715</v>
      </c>
      <c r="G103" s="218">
        <f>[0]!ADAK046200col_TOT_VB_PERM</f>
        <v>101807.64337119999</v>
      </c>
      <c r="H103" s="219">
        <f>SUM(E103:G103)</f>
        <v>639000.56337119988</v>
      </c>
      <c r="I103" s="219">
        <f>[0]!ADAK046200col_1_27TH_PP</f>
        <v>0</v>
      </c>
      <c r="J103" s="218">
        <f>[0]!ADAK046200col_HEALTH_PERM_CHG</f>
        <v>0</v>
      </c>
      <c r="K103" s="218">
        <f>[0]!ADAK046200col_TOT_VB_PERM_CHG</f>
        <v>-2162.1308799999997</v>
      </c>
      <c r="L103" s="218">
        <f>SUM(J103:K103)</f>
        <v>-2162.1308799999997</v>
      </c>
    </row>
    <row r="104" spans="1:12" x14ac:dyDescent="0.25">
      <c r="A104" s="405" t="s">
        <v>28</v>
      </c>
      <c r="B104" s="406"/>
      <c r="C104" s="217">
        <v>2</v>
      </c>
      <c r="D104" s="288"/>
      <c r="E104" s="218">
        <f>[0]!ADAK046200col_Group_Salary</f>
        <v>0</v>
      </c>
      <c r="F104" s="218">
        <v>0</v>
      </c>
      <c r="G104" s="218">
        <f>[0]!ADAK046200col_Group_Ben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05" t="s">
        <v>29</v>
      </c>
      <c r="B105" s="417"/>
      <c r="C105" s="217">
        <v>3</v>
      </c>
      <c r="D105" s="288">
        <f>[0]!ADAK046200col_TOTAL_ELECT_PCN_FTI</f>
        <v>0</v>
      </c>
      <c r="E105" s="218">
        <f>[0]!ADAK046200col_FTI_SALARY_ELECT</f>
        <v>0</v>
      </c>
      <c r="F105" s="218">
        <f>[0]!ADAK046200col_HEALTH_ELECT</f>
        <v>0</v>
      </c>
      <c r="G105" s="218">
        <f>[0]!ADAK046200col_TOT_VB_ELECT</f>
        <v>0</v>
      </c>
      <c r="H105" s="219">
        <f>SUM(E105:G105)</f>
        <v>0</v>
      </c>
      <c r="I105" s="268"/>
      <c r="J105" s="218">
        <f>[0]!ADAK046200col_HEALTH_ELECT_CHG</f>
        <v>0</v>
      </c>
      <c r="K105" s="218">
        <f>[0]!ADAK046200col_TOT_VB_ELECT_CHG</f>
        <v>0</v>
      </c>
      <c r="L105" s="219">
        <f>SUM(J105:K105)</f>
        <v>0</v>
      </c>
    </row>
    <row r="106" spans="1:12" x14ac:dyDescent="0.25">
      <c r="A106" s="405" t="s">
        <v>30</v>
      </c>
      <c r="B106" s="406"/>
      <c r="C106" s="217"/>
      <c r="D106" s="220">
        <f>SUM(D103:D105)</f>
        <v>7.1</v>
      </c>
      <c r="E106" s="221">
        <f>SUM(E103:E105)</f>
        <v>454477.92</v>
      </c>
      <c r="F106" s="221">
        <f>SUM(F103:F105)</f>
        <v>82715</v>
      </c>
      <c r="G106" s="221">
        <f>SUM(G103:G105)</f>
        <v>101807.64337119999</v>
      </c>
      <c r="H106" s="219">
        <f>SUM(E106:G106)</f>
        <v>639000.56337119988</v>
      </c>
      <c r="I106" s="268"/>
      <c r="J106" s="219">
        <f>SUM(J103:J105)</f>
        <v>0</v>
      </c>
      <c r="K106" s="219">
        <f>SUM(K103:K105)</f>
        <v>-2162.1308799999997</v>
      </c>
      <c r="L106" s="219">
        <f>SUM(L103:L105)</f>
        <v>-2162.1308799999997</v>
      </c>
    </row>
    <row r="107" spans="1:12" x14ac:dyDescent="0.25">
      <c r="A107" s="365"/>
      <c r="B107" s="371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"&amp;'ADAK|0462-00'!FiscalYear-1</f>
        <v>FY 2022</v>
      </c>
      <c r="B108" s="158" t="s">
        <v>31</v>
      </c>
      <c r="C108" s="355">
        <v>712300</v>
      </c>
      <c r="D108" s="55">
        <v>8.15</v>
      </c>
      <c r="E108" s="223">
        <f>IF('ADAK|0462-00'!OrigApprop=0,0,(E106/H106)*'ADAK|0462-00'!OrigApprop)</f>
        <v>506610.85603448225</v>
      </c>
      <c r="F108" s="223">
        <f>IF('ADAK|0462-00'!OrigApprop=0,0,(F106/H106)*'ADAK|0462-00'!OrigApprop)</f>
        <v>92203.196487284134</v>
      </c>
      <c r="G108" s="223">
        <f>IF(E108=0,0,(G106/H106)*'ADAK|0462-00'!OrigApprop)</f>
        <v>113485.94747823372</v>
      </c>
      <c r="H108" s="223">
        <f>SUM(E108:G108)</f>
        <v>712300.00000000012</v>
      </c>
      <c r="I108" s="268"/>
      <c r="J108" s="224"/>
      <c r="K108" s="224"/>
      <c r="L108" s="224"/>
    </row>
    <row r="109" spans="1:12" x14ac:dyDescent="0.25">
      <c r="A109" s="423" t="s">
        <v>32</v>
      </c>
      <c r="B109" s="424"/>
      <c r="C109" s="160" t="s">
        <v>33</v>
      </c>
      <c r="D109" s="161">
        <f>D108-D106</f>
        <v>1.0500000000000007</v>
      </c>
      <c r="E109" s="162">
        <f>E108-E106</f>
        <v>52132.936034482263</v>
      </c>
      <c r="F109" s="162">
        <f>F108-F106</f>
        <v>9488.1964872841345</v>
      </c>
      <c r="G109" s="162">
        <f>G108-G106</f>
        <v>11678.304107033735</v>
      </c>
      <c r="H109" s="162">
        <f>H108-H106</f>
        <v>73299.436628800235</v>
      </c>
      <c r="I109" s="269"/>
      <c r="J109" s="56" t="str">
        <f>IF('ADAK|0462-00'!OrigApprop=0,"ERROR! Enter Original Appropriation amount in DU 3.00!","Calculated "&amp;IF('ADAK|0462-00'!AdjustedTotal&gt;0,"overfunding ","underfunding ")&amp;"is "&amp;TEXT('ADAK|0462-00'!AdjustedTotal/'ADAK|0462-00'!AppropTotal,"#.0%;(#.0% );0% ;")&amp;" of Original Appropriation")</f>
        <v>Calculated overfunding is 10.3% of Original Appropriation</v>
      </c>
      <c r="K109" s="163"/>
      <c r="L109" s="164"/>
    </row>
    <row r="111" spans="1:12" x14ac:dyDescent="0.25">
      <c r="A111" s="395" t="s">
        <v>960</v>
      </c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</row>
    <row r="112" spans="1:12" ht="39" x14ac:dyDescent="0.25">
      <c r="A112" s="412" t="s">
        <v>22</v>
      </c>
      <c r="B112" s="413"/>
      <c r="C112" s="370" t="s">
        <v>23</v>
      </c>
      <c r="D112" s="49" t="s">
        <v>24</v>
      </c>
      <c r="E112" s="50" t="str">
        <f>"FY "&amp;'ADAK|0519-00'!FiscalYear-1&amp;" SALARY"</f>
        <v>FY 2022 SALARY</v>
      </c>
      <c r="F112" s="50" t="str">
        <f>"FY "&amp;'ADAK|0519-00'!FiscalYear-1&amp;" HEALTH BENEFITS"</f>
        <v>FY 2022 HEALTH BENEFITS</v>
      </c>
      <c r="G112" s="50" t="str">
        <f>"FY "&amp;'ADAK|0519-00'!FiscalYear-1&amp;" VAR BENEFITS"</f>
        <v>FY 2022 VAR BENEFITS</v>
      </c>
      <c r="H112" s="50" t="str">
        <f>"FY "&amp;'ADAK|0519-00'!FiscalYear-1&amp;" TOTAL"</f>
        <v>FY 2022 TOTAL</v>
      </c>
      <c r="I112" s="50" t="str">
        <f>"FY "&amp;'ADAK|0519-00'!FiscalYear&amp;" SALARY CHANGE"</f>
        <v>FY 2023 SALARY CHANGE</v>
      </c>
      <c r="J112" s="50" t="str">
        <f>"FY "&amp;'ADAK|0519-00'!FiscalYear&amp;" CHG HEALTH BENEFITS"</f>
        <v>FY 2023 CHG HEALTH BENEFITS</v>
      </c>
      <c r="K112" s="50" t="str">
        <f>"FY "&amp;'ADAK|0519-00'!FiscalYear&amp;" CHG VAR BENEFITS"</f>
        <v>FY 2023 CHG VAR BENEFITS</v>
      </c>
      <c r="L112" s="50" t="s">
        <v>25</v>
      </c>
    </row>
    <row r="113" spans="1:12" x14ac:dyDescent="0.25">
      <c r="A113" s="415" t="s">
        <v>26</v>
      </c>
      <c r="B113" s="416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05" t="s">
        <v>27</v>
      </c>
      <c r="B114" s="406"/>
      <c r="C114" s="217">
        <v>1</v>
      </c>
      <c r="D114" s="288">
        <f>[0]!ADAK051900col_INC_FTI</f>
        <v>1</v>
      </c>
      <c r="E114" s="218">
        <f>[0]!ADAK051900col_FTI_SALARY_PERM</f>
        <v>76440</v>
      </c>
      <c r="F114" s="218">
        <f>[0]!ADAK051900col_HEALTH_PERM</f>
        <v>11650</v>
      </c>
      <c r="G114" s="218">
        <f>[0]!ADAK051900col_TOT_VB_PERM</f>
        <v>16962.8004</v>
      </c>
      <c r="H114" s="219">
        <f>SUM(E114:G114)</f>
        <v>105052.80040000001</v>
      </c>
      <c r="I114" s="219">
        <f>[0]!ADAK051900col_1_27TH_PP</f>
        <v>0</v>
      </c>
      <c r="J114" s="218">
        <f>[0]!ADAK051900col_HEALTH_PERM_CHG</f>
        <v>0</v>
      </c>
      <c r="K114" s="218">
        <f>[0]!ADAK051900col_TOT_VB_PERM_CHG</f>
        <v>-374.55599999999998</v>
      </c>
      <c r="L114" s="218">
        <f>SUM(J114:K114)</f>
        <v>-374.55599999999998</v>
      </c>
    </row>
    <row r="115" spans="1:12" x14ac:dyDescent="0.25">
      <c r="A115" s="405" t="s">
        <v>28</v>
      </c>
      <c r="B115" s="406"/>
      <c r="C115" s="217">
        <v>2</v>
      </c>
      <c r="D115" s="288"/>
      <c r="E115" s="218">
        <f>[0]!ADAK051900col_Group_Salary</f>
        <v>0</v>
      </c>
      <c r="F115" s="218">
        <v>0</v>
      </c>
      <c r="G115" s="218">
        <f>[0]!ADAK051900col_Group_Ben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05" t="s">
        <v>29</v>
      </c>
      <c r="B116" s="417"/>
      <c r="C116" s="217">
        <v>3</v>
      </c>
      <c r="D116" s="288">
        <f>[0]!ADAK051900col_TOTAL_ELECT_PCN_FTI</f>
        <v>0</v>
      </c>
      <c r="E116" s="218">
        <f>[0]!ADAK051900col_FTI_SALARY_ELECT</f>
        <v>0</v>
      </c>
      <c r="F116" s="218">
        <f>[0]!ADAK051900col_HEALTH_ELECT</f>
        <v>0</v>
      </c>
      <c r="G116" s="218">
        <f>[0]!ADAK051900col_TOT_VB_ELECT</f>
        <v>0</v>
      </c>
      <c r="H116" s="219">
        <f>SUM(E116:G116)</f>
        <v>0</v>
      </c>
      <c r="I116" s="268"/>
      <c r="J116" s="218">
        <f>[0]!ADAK051900col_HEALTH_ELECT_CHG</f>
        <v>0</v>
      </c>
      <c r="K116" s="218">
        <f>[0]!ADAK051900col_TOT_VB_ELECT_CHG</f>
        <v>0</v>
      </c>
      <c r="L116" s="219">
        <f>SUM(J116:K116)</f>
        <v>0</v>
      </c>
    </row>
    <row r="117" spans="1:12" x14ac:dyDescent="0.25">
      <c r="A117" s="405" t="s">
        <v>30</v>
      </c>
      <c r="B117" s="406"/>
      <c r="C117" s="217"/>
      <c r="D117" s="220">
        <f>SUM(D114:D116)</f>
        <v>1</v>
      </c>
      <c r="E117" s="221">
        <f>SUM(E114:E116)</f>
        <v>76440</v>
      </c>
      <c r="F117" s="221">
        <f>SUM(F114:F116)</f>
        <v>11650</v>
      </c>
      <c r="G117" s="221">
        <f>SUM(G114:G116)</f>
        <v>16962.8004</v>
      </c>
      <c r="H117" s="219">
        <f>SUM(E117:G117)</f>
        <v>105052.80040000001</v>
      </c>
      <c r="I117" s="268"/>
      <c r="J117" s="219">
        <f>SUM(J114:J116)</f>
        <v>0</v>
      </c>
      <c r="K117" s="219">
        <f>SUM(K114:K116)</f>
        <v>-374.55599999999998</v>
      </c>
      <c r="L117" s="219">
        <f>SUM(L114:L116)</f>
        <v>-374.55599999999998</v>
      </c>
    </row>
    <row r="118" spans="1:12" x14ac:dyDescent="0.25">
      <c r="A118" s="365"/>
      <c r="B118" s="371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"&amp;'ADAK|0519-00'!FiscalYear-1</f>
        <v>FY 2022</v>
      </c>
      <c r="B119" s="158" t="s">
        <v>31</v>
      </c>
      <c r="C119" s="355">
        <v>204700</v>
      </c>
      <c r="D119" s="55">
        <v>2</v>
      </c>
      <c r="E119" s="223">
        <f>IF('ADAK|0519-00'!OrigApprop=0,0,(E117/H117)*'ADAK|0519-00'!OrigApprop)</f>
        <v>148946.70052032234</v>
      </c>
      <c r="F119" s="223">
        <f>IF('ADAK|0519-00'!OrigApprop=0,0,(F117/H117)*'ADAK|0519-00'!OrigApprop)</f>
        <v>22700.537167212915</v>
      </c>
      <c r="G119" s="223">
        <f>IF(E119=0,0,(G117/H117)*'ADAK|0519-00'!OrigApprop)</f>
        <v>33052.762312464729</v>
      </c>
      <c r="H119" s="223">
        <f>SUM(E119:G119)</f>
        <v>204700</v>
      </c>
      <c r="I119" s="268"/>
      <c r="J119" s="224"/>
      <c r="K119" s="224"/>
      <c r="L119" s="224"/>
    </row>
    <row r="120" spans="1:12" x14ac:dyDescent="0.25">
      <c r="A120" s="423" t="s">
        <v>32</v>
      </c>
      <c r="B120" s="424"/>
      <c r="C120" s="160" t="s">
        <v>33</v>
      </c>
      <c r="D120" s="161">
        <f>D119-D117</f>
        <v>1</v>
      </c>
      <c r="E120" s="162">
        <f>E119-E117</f>
        <v>72506.700520322338</v>
      </c>
      <c r="F120" s="162">
        <f>F119-F117</f>
        <v>11050.537167212915</v>
      </c>
      <c r="G120" s="162">
        <f>G119-G117</f>
        <v>16089.961912464729</v>
      </c>
      <c r="H120" s="162">
        <f>H119-H117</f>
        <v>99647.199599999993</v>
      </c>
      <c r="I120" s="269"/>
      <c r="J120" s="56" t="str">
        <f>IF('ADAK|0519-00'!OrigApprop=0,"ERROR! Enter Original Appropriation amount in DU 3.00!","Calculated "&amp;IF('ADAK|0519-00'!AdjustedTotal&gt;0,"overfunding ","underfunding ")&amp;"is "&amp;TEXT('ADAK|0519-00'!AdjustedTotal/'ADAK|0519-00'!AppropTotal,"#.0%;(#.0% );0% ;")&amp;" of Original Appropriation")</f>
        <v>Calculated overfunding is 48.7% of Original Appropriation</v>
      </c>
      <c r="K120" s="163"/>
      <c r="L120" s="164"/>
    </row>
    <row r="122" spans="1:12" x14ac:dyDescent="0.25">
      <c r="A122" s="395" t="s">
        <v>965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</row>
    <row r="123" spans="1:12" ht="39" x14ac:dyDescent="0.25">
      <c r="A123" s="412" t="s">
        <v>22</v>
      </c>
      <c r="B123" s="413"/>
      <c r="C123" s="370" t="s">
        <v>23</v>
      </c>
      <c r="D123" s="49" t="s">
        <v>24</v>
      </c>
      <c r="E123" s="50" t="str">
        <f>"FY "&amp;'ADAM|0001-00'!FiscalYear-1&amp;" SALARY"</f>
        <v>FY 2022 SALARY</v>
      </c>
      <c r="F123" s="50" t="str">
        <f>"FY "&amp;'ADAM|0001-00'!FiscalYear-1&amp;" HEALTH BENEFITS"</f>
        <v>FY 2022 HEALTH BENEFITS</v>
      </c>
      <c r="G123" s="50" t="str">
        <f>"FY "&amp;'ADAM|0001-00'!FiscalYear-1&amp;" VAR BENEFITS"</f>
        <v>FY 2022 VAR BENEFITS</v>
      </c>
      <c r="H123" s="50" t="str">
        <f>"FY "&amp;'ADAM|0001-00'!FiscalYear-1&amp;" TOTAL"</f>
        <v>FY 2022 TOTAL</v>
      </c>
      <c r="I123" s="50" t="str">
        <f>"FY "&amp;'ADAM|0001-00'!FiscalYear&amp;" SALARY CHANGE"</f>
        <v>FY 2023 SALARY CHANGE</v>
      </c>
      <c r="J123" s="50" t="str">
        <f>"FY "&amp;'ADAM|0001-00'!FiscalYear&amp;" CHG HEALTH BENEFITS"</f>
        <v>FY 2023 CHG HEALTH BENEFITS</v>
      </c>
      <c r="K123" s="50" t="str">
        <f>"FY "&amp;'ADAM|0001-00'!FiscalYear&amp;" CHG VAR BENEFITS"</f>
        <v>FY 2023 CHG VAR BENEFITS</v>
      </c>
      <c r="L123" s="50" t="s">
        <v>25</v>
      </c>
    </row>
    <row r="124" spans="1:12" x14ac:dyDescent="0.25">
      <c r="A124" s="415" t="s">
        <v>26</v>
      </c>
      <c r="B124" s="416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25">
      <c r="A125" s="405" t="s">
        <v>27</v>
      </c>
      <c r="B125" s="406"/>
      <c r="C125" s="217">
        <v>1</v>
      </c>
      <c r="D125" s="288">
        <f>[0]!ADAM000100col_INC_FTI</f>
        <v>0</v>
      </c>
      <c r="E125" s="218">
        <f>[0]!ADAM000100col_FTI_SALARY_PERM</f>
        <v>0</v>
      </c>
      <c r="F125" s="218">
        <f>[0]!ADAM000100col_HEALTH_PERM</f>
        <v>0</v>
      </c>
      <c r="G125" s="218">
        <f>[0]!ADAM000100col_TOT_VB_PERM</f>
        <v>0</v>
      </c>
      <c r="H125" s="219">
        <f>SUM(E125:G125)</f>
        <v>0</v>
      </c>
      <c r="I125" s="219">
        <f>[0]!ADAM000100col_1_27TH_PP</f>
        <v>0</v>
      </c>
      <c r="J125" s="218">
        <f>[0]!ADAM000100col_HEALTH_PERM_CHG</f>
        <v>0</v>
      </c>
      <c r="K125" s="218">
        <f>[0]!ADAM000100col_TOT_VB_PERM_CHG</f>
        <v>0</v>
      </c>
      <c r="L125" s="218">
        <f>SUM(J125:K125)</f>
        <v>0</v>
      </c>
    </row>
    <row r="126" spans="1:12" x14ac:dyDescent="0.25">
      <c r="A126" s="405" t="s">
        <v>28</v>
      </c>
      <c r="B126" s="406"/>
      <c r="C126" s="217">
        <v>2</v>
      </c>
      <c r="D126" s="288"/>
      <c r="E126" s="218">
        <f>[0]!ADAM000100col_Group_Salary</f>
        <v>0</v>
      </c>
      <c r="F126" s="218">
        <v>0</v>
      </c>
      <c r="G126" s="218">
        <f>[0]!ADAM000100col_Group_Ben</f>
        <v>0</v>
      </c>
      <c r="H126" s="219">
        <f>SUM(E126:G126)</f>
        <v>0</v>
      </c>
      <c r="I126" s="268"/>
      <c r="J126" s="218"/>
      <c r="K126" s="218"/>
      <c r="L126" s="218"/>
    </row>
    <row r="127" spans="1:12" x14ac:dyDescent="0.25">
      <c r="A127" s="405" t="s">
        <v>29</v>
      </c>
      <c r="B127" s="417"/>
      <c r="C127" s="217">
        <v>3</v>
      </c>
      <c r="D127" s="288">
        <f>[0]!ADAM000100col_TOTAL_ELECT_PCN_FTI</f>
        <v>0</v>
      </c>
      <c r="E127" s="218">
        <f>[0]!ADAM000100col_FTI_SALARY_ELECT</f>
        <v>0</v>
      </c>
      <c r="F127" s="218">
        <f>[0]!ADAM000100col_HEALTH_ELECT</f>
        <v>0</v>
      </c>
      <c r="G127" s="218">
        <f>[0]!ADAM000100col_TOT_VB_ELECT</f>
        <v>0</v>
      </c>
      <c r="H127" s="219">
        <f>SUM(E127:G127)</f>
        <v>0</v>
      </c>
      <c r="I127" s="268"/>
      <c r="J127" s="218">
        <f>[0]!ADAM000100col_HEALTH_ELECT_CHG</f>
        <v>0</v>
      </c>
      <c r="K127" s="218">
        <f>[0]!ADAM000100col_TOT_VB_ELECT_CHG</f>
        <v>0</v>
      </c>
      <c r="L127" s="219">
        <f>SUM(J127:K127)</f>
        <v>0</v>
      </c>
    </row>
    <row r="128" spans="1:12" x14ac:dyDescent="0.25">
      <c r="A128" s="405" t="s">
        <v>30</v>
      </c>
      <c r="B128" s="406"/>
      <c r="C128" s="217"/>
      <c r="D128" s="220">
        <f>SUM(D125:D127)</f>
        <v>0</v>
      </c>
      <c r="E128" s="221">
        <f>SUM(E125:E127)</f>
        <v>0</v>
      </c>
      <c r="F128" s="221">
        <f>SUM(F125:F127)</f>
        <v>0</v>
      </c>
      <c r="G128" s="221">
        <f>SUM(G125:G127)</f>
        <v>0</v>
      </c>
      <c r="H128" s="219">
        <f>SUM(E128:G128)</f>
        <v>0</v>
      </c>
      <c r="I128" s="268"/>
      <c r="J128" s="219">
        <f>SUM(J125:J127)</f>
        <v>0</v>
      </c>
      <c r="K128" s="219">
        <f>SUM(K125:K127)</f>
        <v>0</v>
      </c>
      <c r="L128" s="219">
        <f>SUM(L125:L127)</f>
        <v>0</v>
      </c>
    </row>
    <row r="129" spans="1:12" x14ac:dyDescent="0.25">
      <c r="A129" s="365"/>
      <c r="B129" s="371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25">
      <c r="A130" s="157" t="str">
        <f>"FY "&amp;'ADAM|0001-00'!FiscalYear-1</f>
        <v>FY 2022</v>
      </c>
      <c r="B130" s="158" t="s">
        <v>31</v>
      </c>
      <c r="C130" s="355">
        <v>634000</v>
      </c>
      <c r="D130" s="55">
        <v>12</v>
      </c>
      <c r="E130" s="223" t="e">
        <f>IF('ADAM|0001-00'!OrigApprop=0,0,(E128/H128)*'ADAM|0001-00'!OrigApprop)</f>
        <v>#DIV/0!</v>
      </c>
      <c r="F130" s="223" t="e">
        <f>IF('ADAM|0001-00'!OrigApprop=0,0,(F128/H128)*'ADAM|0001-00'!OrigApprop)</f>
        <v>#DIV/0!</v>
      </c>
      <c r="G130" s="223" t="e">
        <f>IF(E130=0,0,(G128/H128)*'ADAM|0001-00'!OrigApprop)</f>
        <v>#DIV/0!</v>
      </c>
      <c r="H130" s="223" t="e">
        <f>SUM(E130:G130)</f>
        <v>#DIV/0!</v>
      </c>
      <c r="I130" s="268"/>
      <c r="J130" s="224"/>
      <c r="K130" s="224"/>
      <c r="L130" s="224"/>
    </row>
    <row r="131" spans="1:12" x14ac:dyDescent="0.25">
      <c r="A131" s="423" t="s">
        <v>32</v>
      </c>
      <c r="B131" s="424"/>
      <c r="C131" s="160" t="s">
        <v>33</v>
      </c>
      <c r="D131" s="161">
        <f>D130-D128</f>
        <v>12</v>
      </c>
      <c r="E131" s="162" t="e">
        <f>E130-E128</f>
        <v>#DIV/0!</v>
      </c>
      <c r="F131" s="162" t="e">
        <f>F130-F128</f>
        <v>#DIV/0!</v>
      </c>
      <c r="G131" s="162" t="e">
        <f>G130-G128</f>
        <v>#DIV/0!</v>
      </c>
      <c r="H131" s="162" t="e">
        <f>H130-H128</f>
        <v>#DIV/0!</v>
      </c>
      <c r="I131" s="269"/>
      <c r="J131" s="56" t="e">
        <f>IF('ADAM|0001-00'!OrigApprop=0,"ERROR! Enter Original Appropriation amount in DU 3.00!","Calculated "&amp;IF('ADAM|0001-00'!AdjustedTotal&gt;0,"overfunding ","underfunding ")&amp;"is "&amp;TEXT('ADAM|0001-00'!AdjustedTotal/'ADAM|0001-00'!AppropTotal,"#.0%;(#.0% );0% ;")&amp;" of Original Appropriation")</f>
        <v>#DIV/0!</v>
      </c>
      <c r="K131" s="163"/>
      <c r="L131" s="164"/>
    </row>
    <row r="133" spans="1:12" x14ac:dyDescent="0.25">
      <c r="A133" s="395" t="s">
        <v>968</v>
      </c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</row>
    <row r="134" spans="1:12" ht="39" x14ac:dyDescent="0.25">
      <c r="A134" s="412" t="s">
        <v>22</v>
      </c>
      <c r="B134" s="413"/>
      <c r="C134" s="370" t="s">
        <v>23</v>
      </c>
      <c r="D134" s="49" t="s">
        <v>24</v>
      </c>
      <c r="E134" s="50" t="str">
        <f>"FY "&amp;'ADAM|0450-00'!FiscalYear-1&amp;" SALARY"</f>
        <v>FY 2022 SALARY</v>
      </c>
      <c r="F134" s="50" t="str">
        <f>"FY "&amp;'ADAM|0450-00'!FiscalYear-1&amp;" HEALTH BENEFITS"</f>
        <v>FY 2022 HEALTH BENEFITS</v>
      </c>
      <c r="G134" s="50" t="str">
        <f>"FY "&amp;'ADAM|0450-00'!FiscalYear-1&amp;" VAR BENEFITS"</f>
        <v>FY 2022 VAR BENEFITS</v>
      </c>
      <c r="H134" s="50" t="str">
        <f>"FY "&amp;'ADAM|0450-00'!FiscalYear-1&amp;" TOTAL"</f>
        <v>FY 2022 TOTAL</v>
      </c>
      <c r="I134" s="50" t="str">
        <f>"FY "&amp;'ADAM|0450-00'!FiscalYear&amp;" SALARY CHANGE"</f>
        <v>FY 2023 SALARY CHANGE</v>
      </c>
      <c r="J134" s="50" t="str">
        <f>"FY "&amp;'ADAM|0450-00'!FiscalYear&amp;" CHG HEALTH BENEFITS"</f>
        <v>FY 2023 CHG HEALTH BENEFITS</v>
      </c>
      <c r="K134" s="50" t="str">
        <f>"FY "&amp;'ADAM|0450-00'!FiscalYear&amp;" CHG VAR BENEFITS"</f>
        <v>FY 2023 CHG VAR BENEFITS</v>
      </c>
      <c r="L134" s="50" t="s">
        <v>25</v>
      </c>
    </row>
    <row r="135" spans="1:12" x14ac:dyDescent="0.25">
      <c r="A135" s="415" t="s">
        <v>26</v>
      </c>
      <c r="B135" s="416"/>
      <c r="C135" s="141"/>
      <c r="D135" s="142"/>
      <c r="E135" s="143"/>
      <c r="F135" s="143"/>
      <c r="G135" s="143"/>
      <c r="H135" s="144"/>
      <c r="I135" s="144"/>
      <c r="J135" s="145"/>
      <c r="K135" s="146"/>
      <c r="L135" s="144"/>
    </row>
    <row r="136" spans="1:12" x14ac:dyDescent="0.25">
      <c r="A136" s="405" t="s">
        <v>27</v>
      </c>
      <c r="B136" s="406"/>
      <c r="C136" s="217">
        <v>1</v>
      </c>
      <c r="D136" s="288">
        <f>[0]!ADAM045000col_INC_FTI</f>
        <v>0</v>
      </c>
      <c r="E136" s="218">
        <f>[0]!ADAM045000col_FTI_SALARY_PERM</f>
        <v>0</v>
      </c>
      <c r="F136" s="218">
        <f>[0]!ADAM045000col_HEALTH_PERM</f>
        <v>0</v>
      </c>
      <c r="G136" s="218">
        <f>[0]!ADAM045000col_TOT_VB_PERM</f>
        <v>0</v>
      </c>
      <c r="H136" s="219">
        <f>SUM(E136:G136)</f>
        <v>0</v>
      </c>
      <c r="I136" s="219">
        <f>[0]!ADAM045000col_1_27TH_PP</f>
        <v>0</v>
      </c>
      <c r="J136" s="218">
        <f>[0]!ADAM045000col_HEALTH_PERM_CHG</f>
        <v>0</v>
      </c>
      <c r="K136" s="218">
        <f>[0]!ADAM045000col_TOT_VB_PERM_CHG</f>
        <v>0</v>
      </c>
      <c r="L136" s="218">
        <f>SUM(J136:K136)</f>
        <v>0</v>
      </c>
    </row>
    <row r="137" spans="1:12" x14ac:dyDescent="0.25">
      <c r="A137" s="405" t="s">
        <v>28</v>
      </c>
      <c r="B137" s="406"/>
      <c r="C137" s="217">
        <v>2</v>
      </c>
      <c r="D137" s="288"/>
      <c r="E137" s="218">
        <f>[0]!ADAM045000col_Group_Salary</f>
        <v>0</v>
      </c>
      <c r="F137" s="218">
        <v>0</v>
      </c>
      <c r="G137" s="218">
        <f>[0]!ADAM045000col_Group_Ben</f>
        <v>0</v>
      </c>
      <c r="H137" s="219">
        <f>SUM(E137:G137)</f>
        <v>0</v>
      </c>
      <c r="I137" s="268"/>
      <c r="J137" s="218"/>
      <c r="K137" s="218"/>
      <c r="L137" s="218"/>
    </row>
    <row r="138" spans="1:12" x14ac:dyDescent="0.25">
      <c r="A138" s="405" t="s">
        <v>29</v>
      </c>
      <c r="B138" s="417"/>
      <c r="C138" s="217">
        <v>3</v>
      </c>
      <c r="D138" s="288">
        <f>[0]!ADAM045000col_TOTAL_ELECT_PCN_FTI</f>
        <v>0</v>
      </c>
      <c r="E138" s="218">
        <f>[0]!ADAM045000col_FTI_SALARY_ELECT</f>
        <v>0</v>
      </c>
      <c r="F138" s="218">
        <f>[0]!ADAM045000col_HEALTH_ELECT</f>
        <v>0</v>
      </c>
      <c r="G138" s="218">
        <f>[0]!ADAM045000col_TOT_VB_ELECT</f>
        <v>0</v>
      </c>
      <c r="H138" s="219">
        <f>SUM(E138:G138)</f>
        <v>0</v>
      </c>
      <c r="I138" s="268"/>
      <c r="J138" s="218">
        <f>[0]!ADAM045000col_HEALTH_ELECT_CHG</f>
        <v>0</v>
      </c>
      <c r="K138" s="218">
        <f>[0]!ADAM045000col_TOT_VB_ELECT_CHG</f>
        <v>0</v>
      </c>
      <c r="L138" s="219">
        <f>SUM(J138:K138)</f>
        <v>0</v>
      </c>
    </row>
    <row r="139" spans="1:12" x14ac:dyDescent="0.25">
      <c r="A139" s="405" t="s">
        <v>30</v>
      </c>
      <c r="B139" s="406"/>
      <c r="C139" s="217"/>
      <c r="D139" s="220">
        <f>SUM(D136:D138)</f>
        <v>0</v>
      </c>
      <c r="E139" s="221">
        <f>SUM(E136:E138)</f>
        <v>0</v>
      </c>
      <c r="F139" s="221">
        <f>SUM(F136:F138)</f>
        <v>0</v>
      </c>
      <c r="G139" s="221">
        <f>SUM(G136:G138)</f>
        <v>0</v>
      </c>
      <c r="H139" s="219">
        <f>SUM(E139:G139)</f>
        <v>0</v>
      </c>
      <c r="I139" s="268"/>
      <c r="J139" s="219">
        <f>SUM(J136:J138)</f>
        <v>0</v>
      </c>
      <c r="K139" s="219">
        <f>SUM(K136:K138)</f>
        <v>0</v>
      </c>
      <c r="L139" s="219">
        <f>SUM(L136:L138)</f>
        <v>0</v>
      </c>
    </row>
    <row r="140" spans="1:12" x14ac:dyDescent="0.25">
      <c r="A140" s="365"/>
      <c r="B140" s="371"/>
      <c r="C140" s="217"/>
      <c r="D140" s="220"/>
      <c r="E140" s="219"/>
      <c r="F140" s="219"/>
      <c r="G140" s="219"/>
      <c r="H140" s="219"/>
      <c r="I140" s="268"/>
      <c r="J140" s="219"/>
      <c r="K140" s="222"/>
      <c r="L140" s="222"/>
    </row>
    <row r="141" spans="1:12" x14ac:dyDescent="0.25">
      <c r="A141" s="157" t="str">
        <f>"FY "&amp;'ADAM|0450-00'!FiscalYear-1</f>
        <v>FY 2022</v>
      </c>
      <c r="B141" s="158" t="s">
        <v>31</v>
      </c>
      <c r="C141" s="355">
        <v>375700</v>
      </c>
      <c r="D141" s="55">
        <v>4.5199999999999996</v>
      </c>
      <c r="E141" s="223" t="e">
        <f>IF('ADAM|0450-00'!OrigApprop=0,0,(E139/H139)*'ADAM|0450-00'!OrigApprop)</f>
        <v>#DIV/0!</v>
      </c>
      <c r="F141" s="223" t="e">
        <f>IF('ADAM|0450-00'!OrigApprop=0,0,(F139/H139)*'ADAM|0450-00'!OrigApprop)</f>
        <v>#DIV/0!</v>
      </c>
      <c r="G141" s="223" t="e">
        <f>IF(E141=0,0,(G139/H139)*'ADAM|0450-00'!OrigApprop)</f>
        <v>#DIV/0!</v>
      </c>
      <c r="H141" s="223" t="e">
        <f>SUM(E141:G141)</f>
        <v>#DIV/0!</v>
      </c>
      <c r="I141" s="268"/>
      <c r="J141" s="224"/>
      <c r="K141" s="224"/>
      <c r="L141" s="224"/>
    </row>
    <row r="142" spans="1:12" x14ac:dyDescent="0.25">
      <c r="A142" s="423" t="s">
        <v>32</v>
      </c>
      <c r="B142" s="424"/>
      <c r="C142" s="160" t="s">
        <v>33</v>
      </c>
      <c r="D142" s="161">
        <f>D141-D139</f>
        <v>4.5199999999999996</v>
      </c>
      <c r="E142" s="162" t="e">
        <f>E141-E139</f>
        <v>#DIV/0!</v>
      </c>
      <c r="F142" s="162" t="e">
        <f>F141-F139</f>
        <v>#DIV/0!</v>
      </c>
      <c r="G142" s="162" t="e">
        <f>G141-G139</f>
        <v>#DIV/0!</v>
      </c>
      <c r="H142" s="162" t="e">
        <f>H141-H139</f>
        <v>#DIV/0!</v>
      </c>
      <c r="I142" s="269"/>
      <c r="J142" s="56" t="e">
        <f>IF('ADAM|0450-00'!OrigApprop=0,"ERROR! Enter Original Appropriation amount in DU 3.00!","Calculated "&amp;IF('ADAM|0450-00'!AdjustedTotal&gt;0,"overfunding ","underfunding ")&amp;"is "&amp;TEXT('ADAM|0450-00'!AdjustedTotal/'ADAM|0450-00'!AppropTotal,"#.0%;(#.0% );0% ;")&amp;" of Original Appropriation")</f>
        <v>#DIV/0!</v>
      </c>
      <c r="K142" s="163"/>
      <c r="L142" s="164"/>
    </row>
    <row r="144" spans="1:12" x14ac:dyDescent="0.25">
      <c r="A144" s="395" t="s">
        <v>971</v>
      </c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</row>
    <row r="145" spans="1:12" ht="39" x14ac:dyDescent="0.25">
      <c r="A145" s="412" t="s">
        <v>22</v>
      </c>
      <c r="B145" s="413"/>
      <c r="C145" s="370" t="s">
        <v>23</v>
      </c>
      <c r="D145" s="49" t="s">
        <v>24</v>
      </c>
      <c r="E145" s="50" t="str">
        <f>"FY "&amp;'ADAN|0456-00'!FiscalYear-1&amp;" SALARY"</f>
        <v>FY 2022 SALARY</v>
      </c>
      <c r="F145" s="50" t="str">
        <f>"FY "&amp;'ADAN|0456-00'!FiscalYear-1&amp;" HEALTH BENEFITS"</f>
        <v>FY 2022 HEALTH BENEFITS</v>
      </c>
      <c r="G145" s="50" t="str">
        <f>"FY "&amp;'ADAN|0456-00'!FiscalYear-1&amp;" VAR BENEFITS"</f>
        <v>FY 2022 VAR BENEFITS</v>
      </c>
      <c r="H145" s="50" t="str">
        <f>"FY "&amp;'ADAN|0456-00'!FiscalYear-1&amp;" TOTAL"</f>
        <v>FY 2022 TOTAL</v>
      </c>
      <c r="I145" s="50" t="str">
        <f>"FY "&amp;'ADAN|0456-00'!FiscalYear&amp;" SALARY CHANGE"</f>
        <v>FY 2023 SALARY CHANGE</v>
      </c>
      <c r="J145" s="50" t="str">
        <f>"FY "&amp;'ADAN|0456-00'!FiscalYear&amp;" CHG HEALTH BENEFITS"</f>
        <v>FY 2023 CHG HEALTH BENEFITS</v>
      </c>
      <c r="K145" s="50" t="str">
        <f>"FY "&amp;'ADAN|0456-00'!FiscalYear&amp;" CHG VAR BENEFITS"</f>
        <v>FY 2023 CHG VAR BENEFITS</v>
      </c>
      <c r="L145" s="50" t="s">
        <v>25</v>
      </c>
    </row>
    <row r="146" spans="1:12" x14ac:dyDescent="0.25">
      <c r="A146" s="415" t="s">
        <v>26</v>
      </c>
      <c r="B146" s="416"/>
      <c r="C146" s="141"/>
      <c r="D146" s="142"/>
      <c r="E146" s="143"/>
      <c r="F146" s="143"/>
      <c r="G146" s="143"/>
      <c r="H146" s="144"/>
      <c r="I146" s="144"/>
      <c r="J146" s="145"/>
      <c r="K146" s="146"/>
      <c r="L146" s="144"/>
    </row>
    <row r="147" spans="1:12" x14ac:dyDescent="0.25">
      <c r="A147" s="405" t="s">
        <v>27</v>
      </c>
      <c r="B147" s="406"/>
      <c r="C147" s="217">
        <v>1</v>
      </c>
      <c r="D147" s="288">
        <f>[0]!ADAN045600col_INC_FTI</f>
        <v>0.2</v>
      </c>
      <c r="E147" s="218">
        <f>[0]!ADAN045600col_FTI_SALARY_PERM</f>
        <v>10372.959999999999</v>
      </c>
      <c r="F147" s="218">
        <f>[0]!ADAN045600col_HEALTH_PERM</f>
        <v>2330</v>
      </c>
      <c r="G147" s="218">
        <f>[0]!ADAN045600col_TOT_VB_PERM</f>
        <v>2333.6048111999999</v>
      </c>
      <c r="H147" s="219">
        <f>SUM(E147:G147)</f>
        <v>15036.564811199998</v>
      </c>
      <c r="I147" s="219">
        <f>[0]!ADAN045600col_1_27TH_PP</f>
        <v>0</v>
      </c>
      <c r="J147" s="218">
        <f>[0]!ADAN045600col_HEALTH_PERM_CHG</f>
        <v>0</v>
      </c>
      <c r="K147" s="218">
        <f>[0]!ADAN045600col_TOT_VB_PERM_CHG</f>
        <v>-50.82750399999999</v>
      </c>
      <c r="L147" s="218">
        <f>SUM(J147:K147)</f>
        <v>-50.82750399999999</v>
      </c>
    </row>
    <row r="148" spans="1:12" x14ac:dyDescent="0.25">
      <c r="A148" s="405" t="s">
        <v>28</v>
      </c>
      <c r="B148" s="406"/>
      <c r="C148" s="217">
        <v>2</v>
      </c>
      <c r="D148" s="288"/>
      <c r="E148" s="218">
        <f>[0]!ADAN045600col_Group_Salary</f>
        <v>0</v>
      </c>
      <c r="F148" s="218">
        <v>0</v>
      </c>
      <c r="G148" s="218">
        <f>[0]!ADAN045600col_Group_Ben</f>
        <v>0</v>
      </c>
      <c r="H148" s="219">
        <f>SUM(E148:G148)</f>
        <v>0</v>
      </c>
      <c r="I148" s="268"/>
      <c r="J148" s="218"/>
      <c r="K148" s="218"/>
      <c r="L148" s="218"/>
    </row>
    <row r="149" spans="1:12" x14ac:dyDescent="0.25">
      <c r="A149" s="405" t="s">
        <v>29</v>
      </c>
      <c r="B149" s="417"/>
      <c r="C149" s="217">
        <v>3</v>
      </c>
      <c r="D149" s="288">
        <f>[0]!ADAN045600col_TOTAL_ELECT_PCN_FTI</f>
        <v>0</v>
      </c>
      <c r="E149" s="218">
        <f>[0]!ADAN045600col_FTI_SALARY_ELECT</f>
        <v>0</v>
      </c>
      <c r="F149" s="218">
        <f>[0]!ADAN045600col_HEALTH_ELECT</f>
        <v>0</v>
      </c>
      <c r="G149" s="218">
        <f>[0]!ADAN045600col_TOT_VB_ELECT</f>
        <v>0</v>
      </c>
      <c r="H149" s="219">
        <f>SUM(E149:G149)</f>
        <v>0</v>
      </c>
      <c r="I149" s="268"/>
      <c r="J149" s="218">
        <f>[0]!ADAN045600col_HEALTH_ELECT_CHG</f>
        <v>0</v>
      </c>
      <c r="K149" s="218">
        <f>[0]!ADAN045600col_TOT_VB_ELECT_CHG</f>
        <v>0</v>
      </c>
      <c r="L149" s="219">
        <f>SUM(J149:K149)</f>
        <v>0</v>
      </c>
    </row>
    <row r="150" spans="1:12" x14ac:dyDescent="0.25">
      <c r="A150" s="405" t="s">
        <v>30</v>
      </c>
      <c r="B150" s="406"/>
      <c r="C150" s="217"/>
      <c r="D150" s="220">
        <f>SUM(D147:D149)</f>
        <v>0.2</v>
      </c>
      <c r="E150" s="221">
        <f>SUM(E147:E149)</f>
        <v>10372.959999999999</v>
      </c>
      <c r="F150" s="221">
        <f>SUM(F147:F149)</f>
        <v>2330</v>
      </c>
      <c r="G150" s="221">
        <f>SUM(G147:G149)</f>
        <v>2333.6048111999999</v>
      </c>
      <c r="H150" s="219">
        <f>SUM(E150:G150)</f>
        <v>15036.564811199998</v>
      </c>
      <c r="I150" s="268"/>
      <c r="J150" s="219">
        <f>SUM(J147:J149)</f>
        <v>0</v>
      </c>
      <c r="K150" s="219">
        <f>SUM(K147:K149)</f>
        <v>-50.82750399999999</v>
      </c>
      <c r="L150" s="219">
        <f>SUM(L147:L149)</f>
        <v>-50.82750399999999</v>
      </c>
    </row>
    <row r="151" spans="1:12" x14ac:dyDescent="0.25">
      <c r="A151" s="365"/>
      <c r="B151" s="371"/>
      <c r="C151" s="217"/>
      <c r="D151" s="220"/>
      <c r="E151" s="219"/>
      <c r="F151" s="219"/>
      <c r="G151" s="219"/>
      <c r="H151" s="219"/>
      <c r="I151" s="268"/>
      <c r="J151" s="219"/>
      <c r="K151" s="222"/>
      <c r="L151" s="222"/>
    </row>
    <row r="152" spans="1:12" x14ac:dyDescent="0.25">
      <c r="A152" s="157" t="str">
        <f>"FY "&amp;'ADAN|0456-00'!FiscalYear-1</f>
        <v>FY 2022</v>
      </c>
      <c r="B152" s="158" t="s">
        <v>31</v>
      </c>
      <c r="C152" s="355">
        <v>20400</v>
      </c>
      <c r="D152" s="55">
        <v>0.25</v>
      </c>
      <c r="E152" s="223">
        <f>IF('ADAN|0456-00'!OrigApprop=0,0,(E150/H150)*'ADAN|0456-00'!OrigApprop)</f>
        <v>14072.920687468677</v>
      </c>
      <c r="F152" s="223">
        <f>IF('ADAN|0456-00'!OrigApprop=0,0,(F150/H150)*'ADAN|0456-00'!OrigApprop)</f>
        <v>3161.094345471497</v>
      </c>
      <c r="G152" s="223">
        <f>IF(E152=0,0,(G150/H150)*'ADAN|0456-00'!OrigApprop)</f>
        <v>3165.9849670598283</v>
      </c>
      <c r="H152" s="223">
        <f>SUM(E152:G152)</f>
        <v>20400</v>
      </c>
      <c r="I152" s="268"/>
      <c r="J152" s="224"/>
      <c r="K152" s="224"/>
      <c r="L152" s="224"/>
    </row>
    <row r="153" spans="1:12" x14ac:dyDescent="0.25">
      <c r="A153" s="423" t="s">
        <v>32</v>
      </c>
      <c r="B153" s="424"/>
      <c r="C153" s="160" t="s">
        <v>33</v>
      </c>
      <c r="D153" s="161">
        <f>D152-D150</f>
        <v>4.9999999999999989E-2</v>
      </c>
      <c r="E153" s="162">
        <f>E152-E150</f>
        <v>3699.9606874686779</v>
      </c>
      <c r="F153" s="162">
        <f>F152-F150</f>
        <v>831.09434547149704</v>
      </c>
      <c r="G153" s="162">
        <f>G152-G150</f>
        <v>832.38015585982839</v>
      </c>
      <c r="H153" s="162">
        <f>H152-H150</f>
        <v>5363.4351888000019</v>
      </c>
      <c r="I153" s="269"/>
      <c r="J153" s="56" t="str">
        <f>IF('ADAN|0456-00'!OrigApprop=0,"ERROR! Enter Original Appropriation amount in DU 3.00!","Calculated "&amp;IF('ADAN|0456-00'!AdjustedTotal&gt;0,"overfunding ","underfunding ")&amp;"is "&amp;TEXT('ADAN|0456-00'!AdjustedTotal/'ADAN|0456-00'!AppropTotal,"#.0%;(#.0% );0% ;")&amp;" of Original Appropriation")</f>
        <v>Calculated overfunding is 26.3% of Original Appropriation</v>
      </c>
      <c r="K153" s="163"/>
      <c r="L153" s="164"/>
    </row>
    <row r="155" spans="1:12" x14ac:dyDescent="0.25">
      <c r="A155" s="395" t="s">
        <v>974</v>
      </c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</row>
    <row r="156" spans="1:12" ht="39" x14ac:dyDescent="0.25">
      <c r="A156" s="412" t="s">
        <v>22</v>
      </c>
      <c r="B156" s="413"/>
      <c r="C156" s="370" t="s">
        <v>23</v>
      </c>
      <c r="D156" s="49" t="s">
        <v>24</v>
      </c>
      <c r="E156" s="50" t="str">
        <f>"FY "&amp;'ADAN|0461-00'!FiscalYear-1&amp;" SALARY"</f>
        <v>FY 2022 SALARY</v>
      </c>
      <c r="F156" s="50" t="str">
        <f>"FY "&amp;'ADAN|0461-00'!FiscalYear-1&amp;" HEALTH BENEFITS"</f>
        <v>FY 2022 HEALTH BENEFITS</v>
      </c>
      <c r="G156" s="50" t="str">
        <f>"FY "&amp;'ADAN|0461-00'!FiscalYear-1&amp;" VAR BENEFITS"</f>
        <v>FY 2022 VAR BENEFITS</v>
      </c>
      <c r="H156" s="50" t="str">
        <f>"FY "&amp;'ADAN|0461-00'!FiscalYear-1&amp;" TOTAL"</f>
        <v>FY 2022 TOTAL</v>
      </c>
      <c r="I156" s="50" t="str">
        <f>"FY "&amp;'ADAN|0461-00'!FiscalYear&amp;" SALARY CHANGE"</f>
        <v>FY 2023 SALARY CHANGE</v>
      </c>
      <c r="J156" s="50" t="str">
        <f>"FY "&amp;'ADAN|0461-00'!FiscalYear&amp;" CHG HEALTH BENEFITS"</f>
        <v>FY 2023 CHG HEALTH BENEFITS</v>
      </c>
      <c r="K156" s="50" t="str">
        <f>"FY "&amp;'ADAN|0461-00'!FiscalYear&amp;" CHG VAR BENEFITS"</f>
        <v>FY 2023 CHG VAR BENEFITS</v>
      </c>
      <c r="L156" s="50" t="s">
        <v>25</v>
      </c>
    </row>
    <row r="157" spans="1:12" x14ac:dyDescent="0.25">
      <c r="A157" s="415" t="s">
        <v>26</v>
      </c>
      <c r="B157" s="416"/>
      <c r="C157" s="141"/>
      <c r="D157" s="142"/>
      <c r="E157" s="143"/>
      <c r="F157" s="143"/>
      <c r="G157" s="143"/>
      <c r="H157" s="144"/>
      <c r="I157" s="144"/>
      <c r="J157" s="145"/>
      <c r="K157" s="146"/>
      <c r="L157" s="144"/>
    </row>
    <row r="158" spans="1:12" x14ac:dyDescent="0.25">
      <c r="A158" s="405" t="s">
        <v>27</v>
      </c>
      <c r="B158" s="406"/>
      <c r="C158" s="217">
        <v>1</v>
      </c>
      <c r="D158" s="288">
        <f>[0]!ADAN046100col_INC_FTI</f>
        <v>0.73</v>
      </c>
      <c r="E158" s="218">
        <f>[0]!ADAN046100col_FTI_SALARY_PERM</f>
        <v>40300.82</v>
      </c>
      <c r="F158" s="218">
        <f>[0]!ADAN046100col_HEALTH_PERM</f>
        <v>8504.5</v>
      </c>
      <c r="G158" s="218">
        <f>[0]!ADAN046100col_TOT_VB_PERM</f>
        <v>9013.8331298000012</v>
      </c>
      <c r="H158" s="219">
        <f>SUM(E158:G158)</f>
        <v>57819.153129800005</v>
      </c>
      <c r="I158" s="219">
        <f>[0]!ADAN046100col_1_27TH_PP</f>
        <v>0</v>
      </c>
      <c r="J158" s="218">
        <f>[0]!ADAN046100col_HEALTH_PERM_CHG</f>
        <v>0</v>
      </c>
      <c r="K158" s="218">
        <f>[0]!ADAN046100col_TOT_VB_PERM_CHG</f>
        <v>-165.06855399999998</v>
      </c>
      <c r="L158" s="218">
        <f>SUM(J158:K158)</f>
        <v>-165.06855399999998</v>
      </c>
    </row>
    <row r="159" spans="1:12" x14ac:dyDescent="0.25">
      <c r="A159" s="405" t="s">
        <v>28</v>
      </c>
      <c r="B159" s="406"/>
      <c r="C159" s="217">
        <v>2</v>
      </c>
      <c r="D159" s="288"/>
      <c r="E159" s="218">
        <f>[0]!ADAN046100col_Group_Salary</f>
        <v>0</v>
      </c>
      <c r="F159" s="218">
        <v>0</v>
      </c>
      <c r="G159" s="218">
        <f>[0]!ADAN046100col_Group_Ben</f>
        <v>0</v>
      </c>
      <c r="H159" s="219">
        <f>SUM(E159:G159)</f>
        <v>0</v>
      </c>
      <c r="I159" s="268"/>
      <c r="J159" s="218"/>
      <c r="K159" s="218"/>
      <c r="L159" s="218"/>
    </row>
    <row r="160" spans="1:12" x14ac:dyDescent="0.25">
      <c r="A160" s="405" t="s">
        <v>29</v>
      </c>
      <c r="B160" s="417"/>
      <c r="C160" s="217">
        <v>3</v>
      </c>
      <c r="D160" s="288">
        <f>[0]!ADAN046100col_TOTAL_ELECT_PCN_FTI</f>
        <v>0</v>
      </c>
      <c r="E160" s="218">
        <f>[0]!ADAN046100col_FTI_SALARY_ELECT</f>
        <v>0</v>
      </c>
      <c r="F160" s="218">
        <f>[0]!ADAN046100col_HEALTH_ELECT</f>
        <v>0</v>
      </c>
      <c r="G160" s="218">
        <f>[0]!ADAN046100col_TOT_VB_ELECT</f>
        <v>0</v>
      </c>
      <c r="H160" s="219">
        <f>SUM(E160:G160)</f>
        <v>0</v>
      </c>
      <c r="I160" s="268"/>
      <c r="J160" s="218">
        <f>[0]!ADAN046100col_HEALTH_ELECT_CHG</f>
        <v>0</v>
      </c>
      <c r="K160" s="218">
        <f>[0]!ADAN046100col_TOT_VB_ELECT_CHG</f>
        <v>0</v>
      </c>
      <c r="L160" s="219">
        <f>SUM(J160:K160)</f>
        <v>0</v>
      </c>
    </row>
    <row r="161" spans="1:12" x14ac:dyDescent="0.25">
      <c r="A161" s="405" t="s">
        <v>30</v>
      </c>
      <c r="B161" s="406"/>
      <c r="C161" s="217"/>
      <c r="D161" s="220">
        <f>SUM(D158:D160)</f>
        <v>0.73</v>
      </c>
      <c r="E161" s="221">
        <f>SUM(E158:E160)</f>
        <v>40300.82</v>
      </c>
      <c r="F161" s="221">
        <f>SUM(F158:F160)</f>
        <v>8504.5</v>
      </c>
      <c r="G161" s="221">
        <f>SUM(G158:G160)</f>
        <v>9013.8331298000012</v>
      </c>
      <c r="H161" s="219">
        <f>SUM(E161:G161)</f>
        <v>57819.153129800005</v>
      </c>
      <c r="I161" s="268"/>
      <c r="J161" s="219">
        <f>SUM(J158:J160)</f>
        <v>0</v>
      </c>
      <c r="K161" s="219">
        <f>SUM(K158:K160)</f>
        <v>-165.06855399999998</v>
      </c>
      <c r="L161" s="219">
        <f>SUM(L158:L160)</f>
        <v>-165.06855399999998</v>
      </c>
    </row>
    <row r="162" spans="1:12" x14ac:dyDescent="0.25">
      <c r="A162" s="365"/>
      <c r="B162" s="371"/>
      <c r="C162" s="217"/>
      <c r="D162" s="220"/>
      <c r="E162" s="219"/>
      <c r="F162" s="219"/>
      <c r="G162" s="219"/>
      <c r="H162" s="219"/>
      <c r="I162" s="268"/>
      <c r="J162" s="219"/>
      <c r="K162" s="222"/>
      <c r="L162" s="222"/>
    </row>
    <row r="163" spans="1:12" x14ac:dyDescent="0.25">
      <c r="A163" s="157" t="str">
        <f>"FY "&amp;'ADAN|0461-00'!FiscalYear-1</f>
        <v>FY 2022</v>
      </c>
      <c r="B163" s="158" t="s">
        <v>31</v>
      </c>
      <c r="C163" s="355">
        <v>75800</v>
      </c>
      <c r="D163" s="55">
        <v>0.66</v>
      </c>
      <c r="E163" s="223">
        <f>IF('ADAN|0461-00'!OrigApprop=0,0,(E161/H161)*'ADAN|0461-00'!OrigApprop)</f>
        <v>52833.740908348831</v>
      </c>
      <c r="F163" s="223">
        <f>IF('ADAN|0461-00'!OrigApprop=0,0,(F161/H161)*'ADAN|0461-00'!OrigApprop)</f>
        <v>11149.265686282628</v>
      </c>
      <c r="G163" s="223">
        <f>IF(E163=0,0,(G161/H161)*'ADAN|0461-00'!OrigApprop)</f>
        <v>11816.993405368536</v>
      </c>
      <c r="H163" s="223">
        <f>SUM(E163:G163)</f>
        <v>75800</v>
      </c>
      <c r="I163" s="268"/>
      <c r="J163" s="224"/>
      <c r="K163" s="224"/>
      <c r="L163" s="224"/>
    </row>
    <row r="164" spans="1:12" x14ac:dyDescent="0.25">
      <c r="A164" s="423" t="s">
        <v>32</v>
      </c>
      <c r="B164" s="424"/>
      <c r="C164" s="160" t="s">
        <v>33</v>
      </c>
      <c r="D164" s="161">
        <f>D163-D161</f>
        <v>-6.9999999999999951E-2</v>
      </c>
      <c r="E164" s="162">
        <f>E163-E161</f>
        <v>12532.920908348831</v>
      </c>
      <c r="F164" s="162">
        <f>F163-F161</f>
        <v>2644.7656862826279</v>
      </c>
      <c r="G164" s="162">
        <f>G163-G161</f>
        <v>2803.1602755685344</v>
      </c>
      <c r="H164" s="162">
        <f>H163-H161</f>
        <v>17980.846870199995</v>
      </c>
      <c r="I164" s="269"/>
      <c r="J164" s="56" t="str">
        <f>IF('ADAN|0461-00'!OrigApprop=0,"ERROR! Enter Original Appropriation amount in DU 3.00!","Calculated "&amp;IF('ADAN|0461-00'!AdjustedTotal&gt;0,"overfunding ","underfunding ")&amp;"is "&amp;TEXT('ADAN|0461-00'!AdjustedTotal/'ADAN|0461-00'!AppropTotal,"#.0%;(#.0% );0% ;")&amp;" of Original Appropriation")</f>
        <v>Calculated overfunding is 23.7% of Original Appropriation</v>
      </c>
      <c r="K164" s="163"/>
      <c r="L164" s="164"/>
    </row>
    <row r="166" spans="1:12" x14ac:dyDescent="0.25">
      <c r="A166" s="395" t="s">
        <v>977</v>
      </c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</row>
    <row r="167" spans="1:12" ht="39" x14ac:dyDescent="0.25">
      <c r="A167" s="412" t="s">
        <v>22</v>
      </c>
      <c r="B167" s="413"/>
      <c r="C167" s="370" t="s">
        <v>23</v>
      </c>
      <c r="D167" s="49" t="s">
        <v>24</v>
      </c>
      <c r="E167" s="50" t="str">
        <f>"FY "&amp;'ADAN|0462-00'!FiscalYear-1&amp;" SALARY"</f>
        <v>FY 2022 SALARY</v>
      </c>
      <c r="F167" s="50" t="str">
        <f>"FY "&amp;'ADAN|0462-00'!FiscalYear-1&amp;" HEALTH BENEFITS"</f>
        <v>FY 2022 HEALTH BENEFITS</v>
      </c>
      <c r="G167" s="50" t="str">
        <f>"FY "&amp;'ADAN|0462-00'!FiscalYear-1&amp;" VAR BENEFITS"</f>
        <v>FY 2022 VAR BENEFITS</v>
      </c>
      <c r="H167" s="50" t="str">
        <f>"FY "&amp;'ADAN|0462-00'!FiscalYear-1&amp;" TOTAL"</f>
        <v>FY 2022 TOTAL</v>
      </c>
      <c r="I167" s="50" t="str">
        <f>"FY "&amp;'ADAN|0462-00'!FiscalYear&amp;" SALARY CHANGE"</f>
        <v>FY 2023 SALARY CHANGE</v>
      </c>
      <c r="J167" s="50" t="str">
        <f>"FY "&amp;'ADAN|0462-00'!FiscalYear&amp;" CHG HEALTH BENEFITS"</f>
        <v>FY 2023 CHG HEALTH BENEFITS</v>
      </c>
      <c r="K167" s="50" t="str">
        <f>"FY "&amp;'ADAN|0462-00'!FiscalYear&amp;" CHG VAR BENEFITS"</f>
        <v>FY 2023 CHG VAR BENEFITS</v>
      </c>
      <c r="L167" s="50" t="s">
        <v>25</v>
      </c>
    </row>
    <row r="168" spans="1:12" x14ac:dyDescent="0.25">
      <c r="A168" s="415" t="s">
        <v>26</v>
      </c>
      <c r="B168" s="416"/>
      <c r="C168" s="141"/>
      <c r="D168" s="142"/>
      <c r="E168" s="143"/>
      <c r="F168" s="143"/>
      <c r="G168" s="143"/>
      <c r="H168" s="144"/>
      <c r="I168" s="144"/>
      <c r="J168" s="145"/>
      <c r="K168" s="146"/>
      <c r="L168" s="144"/>
    </row>
    <row r="169" spans="1:12" x14ac:dyDescent="0.25">
      <c r="A169" s="405" t="s">
        <v>27</v>
      </c>
      <c r="B169" s="406"/>
      <c r="C169" s="217">
        <v>1</v>
      </c>
      <c r="D169" s="288">
        <f>[0]!ADAN046200col_INC_FTI</f>
        <v>0.48</v>
      </c>
      <c r="E169" s="218">
        <f>[0]!ADAN046200col_FTI_SALARY_PERM</f>
        <v>34550.450000000004</v>
      </c>
      <c r="F169" s="218">
        <f>[0]!ADAN046200col_HEALTH_PERM</f>
        <v>5592</v>
      </c>
      <c r="G169" s="218">
        <f>[0]!ADAN046200col_TOT_VB_PERM</f>
        <v>7755.3560901000001</v>
      </c>
      <c r="H169" s="219">
        <f>SUM(E169:G169)</f>
        <v>47897.806090100006</v>
      </c>
      <c r="I169" s="219">
        <f>[0]!ADAN046200col_1_27TH_PP</f>
        <v>0</v>
      </c>
      <c r="J169" s="218">
        <f>[0]!ADAN046200col_HEALTH_PERM_CHG</f>
        <v>0</v>
      </c>
      <c r="K169" s="218">
        <f>[0]!ADAN046200col_TOT_VB_PERM_CHG</f>
        <v>-169.29720499999999</v>
      </c>
      <c r="L169" s="218">
        <f>SUM(J169:K169)</f>
        <v>-169.29720499999999</v>
      </c>
    </row>
    <row r="170" spans="1:12" x14ac:dyDescent="0.25">
      <c r="A170" s="405" t="s">
        <v>28</v>
      </c>
      <c r="B170" s="406"/>
      <c r="C170" s="217">
        <v>2</v>
      </c>
      <c r="D170" s="288"/>
      <c r="E170" s="218">
        <f>[0]!ADAN046200col_Group_Salary</f>
        <v>0</v>
      </c>
      <c r="F170" s="218">
        <v>0</v>
      </c>
      <c r="G170" s="218">
        <f>[0]!ADAN046200col_Group_Ben</f>
        <v>0</v>
      </c>
      <c r="H170" s="219">
        <f>SUM(E170:G170)</f>
        <v>0</v>
      </c>
      <c r="I170" s="268"/>
      <c r="J170" s="218"/>
      <c r="K170" s="218"/>
      <c r="L170" s="218"/>
    </row>
    <row r="171" spans="1:12" x14ac:dyDescent="0.25">
      <c r="A171" s="405" t="s">
        <v>29</v>
      </c>
      <c r="B171" s="417"/>
      <c r="C171" s="217">
        <v>3</v>
      </c>
      <c r="D171" s="288">
        <f>[0]!ADAN046200col_TOTAL_ELECT_PCN_FTI</f>
        <v>0</v>
      </c>
      <c r="E171" s="218">
        <f>[0]!ADAN046200col_FTI_SALARY_ELECT</f>
        <v>0</v>
      </c>
      <c r="F171" s="218">
        <f>[0]!ADAN046200col_HEALTH_ELECT</f>
        <v>0</v>
      </c>
      <c r="G171" s="218">
        <f>[0]!ADAN046200col_TOT_VB_ELECT</f>
        <v>0</v>
      </c>
      <c r="H171" s="219">
        <f>SUM(E171:G171)</f>
        <v>0</v>
      </c>
      <c r="I171" s="268"/>
      <c r="J171" s="218">
        <f>[0]!ADAN046200col_HEALTH_ELECT_CHG</f>
        <v>0</v>
      </c>
      <c r="K171" s="218">
        <f>[0]!ADAN046200col_TOT_VB_ELECT_CHG</f>
        <v>0</v>
      </c>
      <c r="L171" s="219">
        <f>SUM(J171:K171)</f>
        <v>0</v>
      </c>
    </row>
    <row r="172" spans="1:12" x14ac:dyDescent="0.25">
      <c r="A172" s="405" t="s">
        <v>30</v>
      </c>
      <c r="B172" s="406"/>
      <c r="C172" s="217"/>
      <c r="D172" s="220">
        <f>SUM(D169:D171)</f>
        <v>0.48</v>
      </c>
      <c r="E172" s="221">
        <f>SUM(E169:E171)</f>
        <v>34550.450000000004</v>
      </c>
      <c r="F172" s="221">
        <f>SUM(F169:F171)</f>
        <v>5592</v>
      </c>
      <c r="G172" s="221">
        <f>SUM(G169:G171)</f>
        <v>7755.3560901000001</v>
      </c>
      <c r="H172" s="219">
        <f>SUM(E172:G172)</f>
        <v>47897.806090100006</v>
      </c>
      <c r="I172" s="268"/>
      <c r="J172" s="219">
        <f>SUM(J169:J171)</f>
        <v>0</v>
      </c>
      <c r="K172" s="219">
        <f>SUM(K169:K171)</f>
        <v>-169.29720499999999</v>
      </c>
      <c r="L172" s="219">
        <f>SUM(L169:L171)</f>
        <v>-169.29720499999999</v>
      </c>
    </row>
    <row r="173" spans="1:12" x14ac:dyDescent="0.25">
      <c r="A173" s="365"/>
      <c r="B173" s="371"/>
      <c r="C173" s="217"/>
      <c r="D173" s="220"/>
      <c r="E173" s="219"/>
      <c r="F173" s="219"/>
      <c r="G173" s="219"/>
      <c r="H173" s="219"/>
      <c r="I173" s="268"/>
      <c r="J173" s="219"/>
      <c r="K173" s="222"/>
      <c r="L173" s="222"/>
    </row>
    <row r="174" spans="1:12" x14ac:dyDescent="0.25">
      <c r="A174" s="157" t="str">
        <f>"FY "&amp;'ADAN|0462-00'!FiscalYear-1</f>
        <v>FY 2022</v>
      </c>
      <c r="B174" s="158" t="s">
        <v>31</v>
      </c>
      <c r="C174" s="355">
        <v>55200</v>
      </c>
      <c r="D174" s="55">
        <v>0.51</v>
      </c>
      <c r="E174" s="223">
        <f>IF('ADAN|0462-00'!OrigApprop=0,0,(E172/H172)*'ADAN|0462-00'!OrigApprop)</f>
        <v>39817.791161716617</v>
      </c>
      <c r="F174" s="223">
        <f>IF('ADAN|0462-00'!OrigApprop=0,0,(F172/H172)*'ADAN|0462-00'!OrigApprop)</f>
        <v>6444.5206408692011</v>
      </c>
      <c r="G174" s="223">
        <f>IF(E174=0,0,(G172/H172)*'ADAN|0462-00'!OrigApprop)</f>
        <v>8937.6881974141834</v>
      </c>
      <c r="H174" s="223">
        <f>SUM(E174:G174)</f>
        <v>55200</v>
      </c>
      <c r="I174" s="268"/>
      <c r="J174" s="224"/>
      <c r="K174" s="224"/>
      <c r="L174" s="224"/>
    </row>
    <row r="175" spans="1:12" x14ac:dyDescent="0.25">
      <c r="A175" s="423" t="s">
        <v>32</v>
      </c>
      <c r="B175" s="424"/>
      <c r="C175" s="160" t="s">
        <v>33</v>
      </c>
      <c r="D175" s="161">
        <f>D174-D172</f>
        <v>3.0000000000000027E-2</v>
      </c>
      <c r="E175" s="162">
        <f>E174-E172</f>
        <v>5267.341161716613</v>
      </c>
      <c r="F175" s="162">
        <f>F174-F172</f>
        <v>852.52064086920109</v>
      </c>
      <c r="G175" s="162">
        <f>G174-G172</f>
        <v>1182.3321073141833</v>
      </c>
      <c r="H175" s="162">
        <f>H174-H172</f>
        <v>7302.1939098999937</v>
      </c>
      <c r="I175" s="269"/>
      <c r="J175" s="56" t="str">
        <f>IF('ADAN|0462-00'!OrigApprop=0,"ERROR! Enter Original Appropriation amount in DU 3.00!","Calculated "&amp;IF('ADAN|0462-00'!AdjustedTotal&gt;0,"overfunding ","underfunding ")&amp;"is "&amp;TEXT('ADAN|0462-00'!AdjustedTotal/'ADAN|0462-00'!AppropTotal,"#.0%;(#.0% );0% ;")&amp;" of Original Appropriation")</f>
        <v>Calculated overfunding is 13.2% of Original Appropriation</v>
      </c>
      <c r="K175" s="163"/>
      <c r="L175" s="164"/>
    </row>
  </sheetData>
  <mergeCells count="112">
    <mergeCell ref="A171:B171"/>
    <mergeCell ref="A172:B172"/>
    <mergeCell ref="A175:B175"/>
    <mergeCell ref="A161:B161"/>
    <mergeCell ref="A164:B164"/>
    <mergeCell ref="A167:B167"/>
    <mergeCell ref="A168:B168"/>
    <mergeCell ref="A169:B169"/>
    <mergeCell ref="A170:B170"/>
    <mergeCell ref="A153:B153"/>
    <mergeCell ref="A156:B156"/>
    <mergeCell ref="A157:B157"/>
    <mergeCell ref="A158:B158"/>
    <mergeCell ref="A159:B159"/>
    <mergeCell ref="A160:B160"/>
    <mergeCell ref="A145:B145"/>
    <mergeCell ref="A146:B146"/>
    <mergeCell ref="A147:B147"/>
    <mergeCell ref="A148:B148"/>
    <mergeCell ref="A149:B149"/>
    <mergeCell ref="A150:B150"/>
    <mergeCell ref="A135:B135"/>
    <mergeCell ref="A136:B136"/>
    <mergeCell ref="A137:B137"/>
    <mergeCell ref="A138:B138"/>
    <mergeCell ref="A139:B139"/>
    <mergeCell ref="A142:B142"/>
    <mergeCell ref="A125:B125"/>
    <mergeCell ref="A126:B126"/>
    <mergeCell ref="A127:B127"/>
    <mergeCell ref="A128:B128"/>
    <mergeCell ref="A131:B131"/>
    <mergeCell ref="A134:B134"/>
    <mergeCell ref="A115:B115"/>
    <mergeCell ref="A116:B116"/>
    <mergeCell ref="A117:B117"/>
    <mergeCell ref="A120:B120"/>
    <mergeCell ref="A123:B123"/>
    <mergeCell ref="A124:B124"/>
    <mergeCell ref="A105:B105"/>
    <mergeCell ref="A106:B106"/>
    <mergeCell ref="A109:B109"/>
    <mergeCell ref="A112:B112"/>
    <mergeCell ref="A113:B113"/>
    <mergeCell ref="A114:B114"/>
    <mergeCell ref="A84:B84"/>
    <mergeCell ref="A87:B87"/>
    <mergeCell ref="A95:B95"/>
    <mergeCell ref="A98:B98"/>
    <mergeCell ref="A101:B101"/>
    <mergeCell ref="A102:B102"/>
    <mergeCell ref="A103:B103"/>
    <mergeCell ref="A104:B104"/>
    <mergeCell ref="A90:B90"/>
    <mergeCell ref="A91:B91"/>
    <mergeCell ref="A92:B92"/>
    <mergeCell ref="A93:B93"/>
    <mergeCell ref="A94:B94"/>
    <mergeCell ref="A76:B76"/>
    <mergeCell ref="A79:B79"/>
    <mergeCell ref="A80:B80"/>
    <mergeCell ref="A81:B81"/>
    <mergeCell ref="A82:B82"/>
    <mergeCell ref="A83:B83"/>
    <mergeCell ref="A68:B68"/>
    <mergeCell ref="A69:B69"/>
    <mergeCell ref="A70:B70"/>
    <mergeCell ref="A71:B71"/>
    <mergeCell ref="A72:B72"/>
    <mergeCell ref="A73:B73"/>
    <mergeCell ref="A58:B58"/>
    <mergeCell ref="A59:B59"/>
    <mergeCell ref="A60:B60"/>
    <mergeCell ref="A61:B61"/>
    <mergeCell ref="A62:B62"/>
    <mergeCell ref="A65:B65"/>
    <mergeCell ref="A48:B48"/>
    <mergeCell ref="A49:B49"/>
    <mergeCell ref="A50:B50"/>
    <mergeCell ref="A51:B51"/>
    <mergeCell ref="A54:B54"/>
    <mergeCell ref="A57:B57"/>
    <mergeCell ref="A38:B38"/>
    <mergeCell ref="A39:B39"/>
    <mergeCell ref="A40:B40"/>
    <mergeCell ref="A43:B43"/>
    <mergeCell ref="A46:B46"/>
    <mergeCell ref="A47:B47"/>
    <mergeCell ref="A28:B28"/>
    <mergeCell ref="A29:B29"/>
    <mergeCell ref="A32:B32"/>
    <mergeCell ref="A35:B35"/>
    <mergeCell ref="A36:B36"/>
    <mergeCell ref="A37:B37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18:B18"/>
    <mergeCell ref="A21:B21"/>
    <mergeCell ref="A24:B24"/>
  </mergeCells>
  <conditionalFormatting sqref="J10">
    <cfRule type="expression" dxfId="15" priority="21">
      <formula>$J$16&lt;0</formula>
    </cfRule>
  </conditionalFormatting>
  <conditionalFormatting sqref="J21">
    <cfRule type="expression" dxfId="14" priority="20">
      <formula>$J$16&lt;0</formula>
    </cfRule>
  </conditionalFormatting>
  <conditionalFormatting sqref="J32">
    <cfRule type="expression" dxfId="13" priority="19">
      <formula>$J$16&lt;0</formula>
    </cfRule>
  </conditionalFormatting>
  <conditionalFormatting sqref="J43">
    <cfRule type="expression" dxfId="12" priority="18">
      <formula>$J$16&lt;0</formula>
    </cfRule>
  </conditionalFormatting>
  <conditionalFormatting sqref="J54">
    <cfRule type="expression" dxfId="11" priority="17">
      <formula>$J$16&lt;0</formula>
    </cfRule>
  </conditionalFormatting>
  <conditionalFormatting sqref="J65">
    <cfRule type="expression" dxfId="10" priority="16">
      <formula>$J$16&lt;0</formula>
    </cfRule>
  </conditionalFormatting>
  <conditionalFormatting sqref="J76">
    <cfRule type="expression" dxfId="9" priority="15">
      <formula>$J$16&lt;0</formula>
    </cfRule>
  </conditionalFormatting>
  <conditionalFormatting sqref="J87">
    <cfRule type="expression" dxfId="8" priority="14">
      <formula>$J$16&lt;0</formula>
    </cfRule>
  </conditionalFormatting>
  <conditionalFormatting sqref="J98">
    <cfRule type="expression" dxfId="7" priority="8">
      <formula>$J$16&lt;0</formula>
    </cfRule>
  </conditionalFormatting>
  <conditionalFormatting sqref="J109">
    <cfRule type="expression" dxfId="6" priority="7">
      <formula>$J$16&lt;0</formula>
    </cfRule>
  </conditionalFormatting>
  <conditionalFormatting sqref="J120">
    <cfRule type="expression" dxfId="5" priority="6">
      <formula>$J$16&lt;0</formula>
    </cfRule>
  </conditionalFormatting>
  <conditionalFormatting sqref="J131">
    <cfRule type="expression" dxfId="4" priority="5">
      <formula>$J$16&lt;0</formula>
    </cfRule>
  </conditionalFormatting>
  <conditionalFormatting sqref="J142">
    <cfRule type="expression" dxfId="3" priority="4">
      <formula>$J$16&lt;0</formula>
    </cfRule>
  </conditionalFormatting>
  <conditionalFormatting sqref="J153">
    <cfRule type="expression" dxfId="2" priority="3">
      <formula>$J$16&lt;0</formula>
    </cfRule>
  </conditionalFormatting>
  <conditionalFormatting sqref="J164">
    <cfRule type="expression" dxfId="1" priority="2">
      <formula>$J$16&lt;0</formula>
    </cfRule>
  </conditionalFormatting>
  <conditionalFormatting sqref="J175">
    <cfRule type="expression" dxfId="0" priority="1">
      <formula>$J$16&lt;0</formula>
    </cfRule>
  </conditionalFormatting>
  <pageMargins left="0.7" right="0.7" top="0.75" bottom="0.75" header="0.3" footer="0.3"/>
  <pageSetup scale="12" orientation="landscape" r:id="rId1"/>
  <headerFooter>
    <oddHeader>&amp;L&amp;"Arial"&amp;14 Department of Administration&amp;R&amp;"Arial"&amp;10 Agency 200</oddHeader>
    <oddFooter>&amp;L&amp;"Arial"&amp;10 B6:Summary by Program, by Fund&amp;R&amp;"Arial"&amp;10 FY 2022 Request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41"/>
  <sheetViews>
    <sheetView workbookViewId="0">
      <selection activeCell="E8" sqref="E8:M4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981</v>
      </c>
      <c r="G5" s="475"/>
      <c r="H5" s="476" t="s">
        <v>979</v>
      </c>
      <c r="I5" s="475" t="s">
        <v>982</v>
      </c>
      <c r="J5" s="475"/>
      <c r="K5" s="476" t="s">
        <v>980</v>
      </c>
      <c r="L5" s="475" t="s">
        <v>983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984</v>
      </c>
      <c r="D7" s="250"/>
    </row>
    <row r="8" spans="1:13" x14ac:dyDescent="0.25">
      <c r="C8" t="s">
        <v>889</v>
      </c>
      <c r="D8" s="250"/>
      <c r="E8" s="402">
        <f>Data!AS266</f>
        <v>12.419999999999998</v>
      </c>
      <c r="F8" s="402">
        <f>Data!AT266</f>
        <v>478819.66</v>
      </c>
      <c r="G8" s="402">
        <f>Data!AU266</f>
        <v>259584.8</v>
      </c>
      <c r="H8" s="402">
        <f>Data!AV266</f>
        <v>489753.22000000009</v>
      </c>
      <c r="I8" s="402">
        <f>Data!AW266</f>
        <v>144693</v>
      </c>
      <c r="J8" s="402">
        <f>Data!AX266</f>
        <v>109846.73558980001</v>
      </c>
      <c r="K8" s="402">
        <f>Data!AY266</f>
        <v>489753.22000000009</v>
      </c>
      <c r="L8" s="402">
        <f>Data!AZ266</f>
        <v>144693</v>
      </c>
      <c r="M8" s="402">
        <f>Data!BA266</f>
        <v>107608.97213179999</v>
      </c>
    </row>
    <row r="9" spans="1:13" x14ac:dyDescent="0.25">
      <c r="B9" t="s">
        <v>985</v>
      </c>
      <c r="D9" s="250"/>
      <c r="E9" s="403">
        <f>Data!AS267</f>
        <v>12.419999999999998</v>
      </c>
      <c r="F9" s="403">
        <f>Data!AT267</f>
        <v>478819.66</v>
      </c>
      <c r="G9" s="403">
        <f>Data!AU267</f>
        <v>259584.8</v>
      </c>
      <c r="H9" s="403">
        <f>Data!AV267</f>
        <v>489753.22000000009</v>
      </c>
      <c r="I9" s="403">
        <f>Data!AW267</f>
        <v>144693</v>
      </c>
      <c r="J9" s="403">
        <f>Data!AX267</f>
        <v>109846.73558980001</v>
      </c>
      <c r="K9" s="403">
        <f>Data!AY267</f>
        <v>489753.22000000009</v>
      </c>
      <c r="L9" s="403">
        <f>Data!AZ267</f>
        <v>144693</v>
      </c>
      <c r="M9" s="403">
        <f>Data!BA267</f>
        <v>107608.97213179999</v>
      </c>
    </row>
    <row r="10" spans="1:13" x14ac:dyDescent="0.25">
      <c r="C10" t="s">
        <v>895</v>
      </c>
      <c r="D10" s="250"/>
      <c r="E10" s="402">
        <f>Data!AS268</f>
        <v>25.84</v>
      </c>
      <c r="F10" s="402">
        <f>Data!AT268</f>
        <v>1519591.68</v>
      </c>
      <c r="G10" s="402">
        <f>Data!AU268</f>
        <v>612282.31000000006</v>
      </c>
      <c r="H10" s="402">
        <f>Data!AV268</f>
        <v>1568205.8</v>
      </c>
      <c r="I10" s="402">
        <f>Data!AW268</f>
        <v>301036</v>
      </c>
      <c r="J10" s="402">
        <f>Data!AX268</f>
        <v>352546.23877280008</v>
      </c>
      <c r="K10" s="402">
        <f>Data!AY268</f>
        <v>1568205.8</v>
      </c>
      <c r="L10" s="402">
        <f>Data!AZ268</f>
        <v>301036</v>
      </c>
      <c r="M10" s="402">
        <f>Data!BA268</f>
        <v>344900.91689980001</v>
      </c>
    </row>
    <row r="11" spans="1:13" x14ac:dyDescent="0.25">
      <c r="B11" t="s">
        <v>986</v>
      </c>
      <c r="D11" s="250"/>
      <c r="E11" s="403">
        <f>Data!AS269</f>
        <v>25.84</v>
      </c>
      <c r="F11" s="403">
        <f>Data!AT269</f>
        <v>1519591.68</v>
      </c>
      <c r="G11" s="403">
        <f>Data!AU269</f>
        <v>612282.31000000006</v>
      </c>
      <c r="H11" s="403">
        <f>Data!AV269</f>
        <v>1568205.8</v>
      </c>
      <c r="I11" s="403">
        <f>Data!AW269</f>
        <v>301036</v>
      </c>
      <c r="J11" s="403">
        <f>Data!AX269</f>
        <v>352546.23877280008</v>
      </c>
      <c r="K11" s="403">
        <f>Data!AY269</f>
        <v>1568205.8</v>
      </c>
      <c r="L11" s="403">
        <f>Data!AZ269</f>
        <v>301036</v>
      </c>
      <c r="M11" s="403">
        <f>Data!BA269</f>
        <v>344900.91689980001</v>
      </c>
    </row>
    <row r="12" spans="1:13" x14ac:dyDescent="0.25">
      <c r="C12" t="s">
        <v>987</v>
      </c>
      <c r="D12" s="250"/>
      <c r="E12" s="402">
        <f>Data!AS270</f>
        <v>4.7</v>
      </c>
      <c r="F12" s="402">
        <f>Data!AT270</f>
        <v>336927.14</v>
      </c>
      <c r="G12" s="402">
        <f>Data!AU270</f>
        <v>121074.57999999999</v>
      </c>
      <c r="H12" s="402">
        <f>Data!AV270</f>
        <v>331659.73999999993</v>
      </c>
      <c r="I12" s="402">
        <f>Data!AW270</f>
        <v>54755</v>
      </c>
      <c r="J12" s="402">
        <f>Data!AX270</f>
        <v>73884.761094600006</v>
      </c>
      <c r="K12" s="402">
        <f>Data!AY270</f>
        <v>331659.73999999993</v>
      </c>
      <c r="L12" s="402">
        <f>Data!AZ270</f>
        <v>54755</v>
      </c>
      <c r="M12" s="402">
        <f>Data!BA270</f>
        <v>72557.758627600007</v>
      </c>
    </row>
    <row r="13" spans="1:13" x14ac:dyDescent="0.25">
      <c r="C13" t="s">
        <v>988</v>
      </c>
      <c r="D13" s="250"/>
      <c r="E13" s="402">
        <f>Data!AS271</f>
        <v>34.200000000000003</v>
      </c>
      <c r="F13" s="402">
        <f>Data!AT271</f>
        <v>1532515.15</v>
      </c>
      <c r="G13" s="402">
        <f>Data!AU271</f>
        <v>708969.99000000011</v>
      </c>
      <c r="H13" s="402">
        <f>Data!AV271</f>
        <v>1688633.4399999997</v>
      </c>
      <c r="I13" s="402">
        <f>Data!AW271</f>
        <v>398430</v>
      </c>
      <c r="J13" s="402">
        <f>Data!AX271</f>
        <v>379421.60174880002</v>
      </c>
      <c r="K13" s="402">
        <f>Data!AY271</f>
        <v>1688633.4399999997</v>
      </c>
      <c r="L13" s="402">
        <f>Data!AZ271</f>
        <v>398430</v>
      </c>
      <c r="M13" s="402">
        <f>Data!BA271</f>
        <v>371147.29789280001</v>
      </c>
    </row>
    <row r="14" spans="1:13" x14ac:dyDescent="0.25">
      <c r="C14" t="s">
        <v>989</v>
      </c>
      <c r="E14" s="402">
        <f>Data!AS272</f>
        <v>13</v>
      </c>
      <c r="F14" s="402">
        <f>Data!AT272</f>
        <v>874306.35000000009</v>
      </c>
      <c r="G14" s="402">
        <f>Data!AU272</f>
        <v>355281.38</v>
      </c>
      <c r="H14" s="402">
        <f>Data!AV272</f>
        <v>810555.19999999984</v>
      </c>
      <c r="I14" s="402">
        <f>Data!AW272</f>
        <v>151450</v>
      </c>
      <c r="J14" s="402">
        <f>Data!AX272</f>
        <v>182044.45646400005</v>
      </c>
      <c r="K14" s="402">
        <f>Data!AY272</f>
        <v>810555.19999999984</v>
      </c>
      <c r="L14" s="402">
        <f>Data!AZ272</f>
        <v>151450</v>
      </c>
      <c r="M14" s="402">
        <f>Data!BA272</f>
        <v>178072.73598400003</v>
      </c>
    </row>
    <row r="15" spans="1:13" x14ac:dyDescent="0.25">
      <c r="C15" t="s">
        <v>990</v>
      </c>
      <c r="E15" s="402">
        <f>Data!AS273</f>
        <v>5.080000000000001</v>
      </c>
      <c r="F15" s="402">
        <f>Data!AT273</f>
        <v>176296.2</v>
      </c>
      <c r="G15" s="402">
        <f>Data!AU273</f>
        <v>105448.45</v>
      </c>
      <c r="H15" s="402">
        <f>Data!AV273</f>
        <v>177114.44</v>
      </c>
      <c r="I15" s="402">
        <f>Data!AW273</f>
        <v>59182</v>
      </c>
      <c r="J15" s="402">
        <f>Data!AX273</f>
        <v>39845.435566800006</v>
      </c>
      <c r="K15" s="402">
        <f>Data!AY273</f>
        <v>177114.44</v>
      </c>
      <c r="L15" s="402">
        <f>Data!AZ273</f>
        <v>59182</v>
      </c>
      <c r="M15" s="402">
        <f>Data!BA273</f>
        <v>38977.574810800004</v>
      </c>
    </row>
    <row r="16" spans="1:13" x14ac:dyDescent="0.25">
      <c r="B16" t="s">
        <v>991</v>
      </c>
      <c r="E16" s="403">
        <f>Data!AS274</f>
        <v>56.980000000000004</v>
      </c>
      <c r="F16" s="403">
        <f>Data!AT274</f>
        <v>2920044.8400000003</v>
      </c>
      <c r="G16" s="403">
        <f>Data!AU274</f>
        <v>1290774.4000000001</v>
      </c>
      <c r="H16" s="403">
        <f>Data!AV274</f>
        <v>3007962.8199999994</v>
      </c>
      <c r="I16" s="403">
        <f>Data!AW274</f>
        <v>663817</v>
      </c>
      <c r="J16" s="403">
        <f>Data!AX274</f>
        <v>675196.25487420009</v>
      </c>
      <c r="K16" s="403">
        <f>Data!AY274</f>
        <v>3007962.8199999994</v>
      </c>
      <c r="L16" s="403">
        <f>Data!AZ274</f>
        <v>663817</v>
      </c>
      <c r="M16" s="403">
        <f>Data!BA274</f>
        <v>660755.36731520004</v>
      </c>
    </row>
    <row r="17" spans="1:13" x14ac:dyDescent="0.25">
      <c r="C17" t="s">
        <v>930</v>
      </c>
      <c r="E17" s="402">
        <f>Data!AS275</f>
        <v>2.2000000000000002</v>
      </c>
      <c r="F17" s="402">
        <f>Data!AT275</f>
        <v>113453.18000000001</v>
      </c>
      <c r="G17" s="402">
        <f>Data!AU275</f>
        <v>60434.52</v>
      </c>
      <c r="H17" s="402">
        <f>Data!AV275</f>
        <v>94924.959999999992</v>
      </c>
      <c r="I17" s="402">
        <f>Data!AW275</f>
        <v>25630</v>
      </c>
      <c r="J17" s="402">
        <f>Data!AX275</f>
        <v>21355.268251199999</v>
      </c>
      <c r="K17" s="402">
        <f>Data!AY275</f>
        <v>94924.959999999992</v>
      </c>
      <c r="L17" s="402">
        <f>Data!AZ275</f>
        <v>25630</v>
      </c>
      <c r="M17" s="402">
        <f>Data!BA275</f>
        <v>20890.135947199997</v>
      </c>
    </row>
    <row r="18" spans="1:13" x14ac:dyDescent="0.25">
      <c r="B18" t="s">
        <v>992</v>
      </c>
      <c r="E18" s="403">
        <f>Data!AS276</f>
        <v>2.2000000000000002</v>
      </c>
      <c r="F18" s="403">
        <f>Data!AT276</f>
        <v>113453.18000000001</v>
      </c>
      <c r="G18" s="403">
        <f>Data!AU276</f>
        <v>60434.52</v>
      </c>
      <c r="H18" s="403">
        <f>Data!AV276</f>
        <v>94924.959999999992</v>
      </c>
      <c r="I18" s="403">
        <f>Data!AW276</f>
        <v>25630</v>
      </c>
      <c r="J18" s="403">
        <f>Data!AX276</f>
        <v>21355.268251199999</v>
      </c>
      <c r="K18" s="403">
        <f>Data!AY276</f>
        <v>94924.959999999992</v>
      </c>
      <c r="L18" s="403">
        <f>Data!AZ276</f>
        <v>25630</v>
      </c>
      <c r="M18" s="403">
        <f>Data!BA276</f>
        <v>20890.135947199997</v>
      </c>
    </row>
    <row r="19" spans="1:13" x14ac:dyDescent="0.25">
      <c r="C19" t="s">
        <v>941</v>
      </c>
      <c r="E19" s="402">
        <f>Data!AS277</f>
        <v>0.73</v>
      </c>
      <c r="F19" s="402">
        <f>Data!AT277</f>
        <v>37224.11</v>
      </c>
      <c r="G19" s="402">
        <f>Data!AU277</f>
        <v>15233.08</v>
      </c>
      <c r="H19" s="402">
        <f>Data!AV277</f>
        <v>40300.82</v>
      </c>
      <c r="I19" s="402">
        <f>Data!AW277</f>
        <v>8504.5</v>
      </c>
      <c r="J19" s="402">
        <f>Data!AX277</f>
        <v>9013.8331298000012</v>
      </c>
      <c r="K19" s="402">
        <f>Data!AY277</f>
        <v>40300.82</v>
      </c>
      <c r="L19" s="402">
        <f>Data!AZ277</f>
        <v>8504.5</v>
      </c>
      <c r="M19" s="402">
        <f>Data!BA277</f>
        <v>8848.7645757999999</v>
      </c>
    </row>
    <row r="20" spans="1:13" x14ac:dyDescent="0.25">
      <c r="C20" t="s">
        <v>993</v>
      </c>
      <c r="E20" s="402">
        <f>Data!AS278</f>
        <v>5.0600000000000005</v>
      </c>
      <c r="F20" s="402">
        <f>Data!AT278</f>
        <v>282002.67000000004</v>
      </c>
      <c r="G20" s="402">
        <f>Data!AU278</f>
        <v>115050.46</v>
      </c>
      <c r="H20" s="402">
        <f>Data!AV278</f>
        <v>292792.02999999997</v>
      </c>
      <c r="I20" s="402">
        <f>Data!AW278</f>
        <v>58949</v>
      </c>
      <c r="J20" s="402">
        <f>Data!AX278</f>
        <v>65806.252190300002</v>
      </c>
      <c r="K20" s="402">
        <f>Data!AY278</f>
        <v>292792.02999999997</v>
      </c>
      <c r="L20" s="402">
        <f>Data!AZ278</f>
        <v>58949</v>
      </c>
      <c r="M20" s="402">
        <f>Data!BA278</f>
        <v>64410.457790300003</v>
      </c>
    </row>
    <row r="21" spans="1:13" x14ac:dyDescent="0.25">
      <c r="B21" t="s">
        <v>994</v>
      </c>
      <c r="E21" s="403">
        <f>Data!AS279</f>
        <v>5.7900000000000009</v>
      </c>
      <c r="F21" s="403">
        <f>Data!AT279</f>
        <v>319226.78000000003</v>
      </c>
      <c r="G21" s="403">
        <f>Data!AU279</f>
        <v>130283.54000000001</v>
      </c>
      <c r="H21" s="403">
        <f>Data!AV279</f>
        <v>333092.84999999998</v>
      </c>
      <c r="I21" s="403">
        <f>Data!AW279</f>
        <v>67453.5</v>
      </c>
      <c r="J21" s="403">
        <f>Data!AX279</f>
        <v>74820.085320099999</v>
      </c>
      <c r="K21" s="403">
        <f>Data!AY279</f>
        <v>333092.84999999998</v>
      </c>
      <c r="L21" s="403">
        <f>Data!AZ279</f>
        <v>67453.5</v>
      </c>
      <c r="M21" s="403">
        <f>Data!BA279</f>
        <v>73259.222366100003</v>
      </c>
    </row>
    <row r="22" spans="1:13" x14ac:dyDescent="0.25">
      <c r="C22" t="s">
        <v>946</v>
      </c>
      <c r="E22" s="402">
        <f>Data!AS280</f>
        <v>0.48</v>
      </c>
      <c r="F22" s="402">
        <f>Data!AT280</f>
        <v>33977.520000000004</v>
      </c>
      <c r="G22" s="402">
        <f>Data!AU280</f>
        <v>12253.1</v>
      </c>
      <c r="H22" s="402">
        <f>Data!AV280</f>
        <v>34550.450000000004</v>
      </c>
      <c r="I22" s="402">
        <f>Data!AW280</f>
        <v>5592</v>
      </c>
      <c r="J22" s="402">
        <f>Data!AX280</f>
        <v>7755.3560901000001</v>
      </c>
      <c r="K22" s="402">
        <f>Data!AY280</f>
        <v>34550.450000000004</v>
      </c>
      <c r="L22" s="402">
        <f>Data!AZ280</f>
        <v>5592</v>
      </c>
      <c r="M22" s="402">
        <f>Data!BA280</f>
        <v>7586.0588850999993</v>
      </c>
    </row>
    <row r="23" spans="1:13" x14ac:dyDescent="0.25">
      <c r="C23" t="s">
        <v>995</v>
      </c>
      <c r="E23" s="402">
        <f>Data!AS281</f>
        <v>7.1</v>
      </c>
      <c r="F23" s="402">
        <f>Data!AT281</f>
        <v>424886.52999999997</v>
      </c>
      <c r="G23" s="402">
        <f>Data!AU281</f>
        <v>169559.72</v>
      </c>
      <c r="H23" s="402">
        <f>Data!AV281</f>
        <v>454477.92</v>
      </c>
      <c r="I23" s="402">
        <f>Data!AW281</f>
        <v>82715</v>
      </c>
      <c r="J23" s="402">
        <f>Data!AX281</f>
        <v>101807.64337119999</v>
      </c>
      <c r="K23" s="402">
        <f>Data!AY281</f>
        <v>454477.92</v>
      </c>
      <c r="L23" s="402">
        <f>Data!AZ281</f>
        <v>82715</v>
      </c>
      <c r="M23" s="402">
        <f>Data!BA281</f>
        <v>99645.512491200003</v>
      </c>
    </row>
    <row r="24" spans="1:13" x14ac:dyDescent="0.25">
      <c r="B24" t="s">
        <v>996</v>
      </c>
      <c r="E24" s="403">
        <f>Data!AS282</f>
        <v>7.58</v>
      </c>
      <c r="F24" s="403">
        <f>Data!AT282</f>
        <v>458864.05</v>
      </c>
      <c r="G24" s="403">
        <f>Data!AU282</f>
        <v>181812.82</v>
      </c>
      <c r="H24" s="403">
        <f>Data!AV282</f>
        <v>489028.37</v>
      </c>
      <c r="I24" s="403">
        <f>Data!AW282</f>
        <v>88307</v>
      </c>
      <c r="J24" s="403">
        <f>Data!AX282</f>
        <v>109562.99946129999</v>
      </c>
      <c r="K24" s="403">
        <f>Data!AY282</f>
        <v>489028.37</v>
      </c>
      <c r="L24" s="403">
        <f>Data!AZ282</f>
        <v>88307</v>
      </c>
      <c r="M24" s="403">
        <f>Data!BA282</f>
        <v>107231.57137630001</v>
      </c>
    </row>
    <row r="25" spans="1:13" x14ac:dyDescent="0.25">
      <c r="C25" t="s">
        <v>908</v>
      </c>
      <c r="E25" s="402">
        <f>Data!AS283</f>
        <v>1.19</v>
      </c>
      <c r="F25" s="402">
        <f>Data!AT283</f>
        <v>113318.76000000001</v>
      </c>
      <c r="G25" s="402">
        <f>Data!AU283</f>
        <v>38458.120000000003</v>
      </c>
      <c r="H25" s="402">
        <f>Data!AV283</f>
        <v>87137.42</v>
      </c>
      <c r="I25" s="402">
        <f>Data!AW283</f>
        <v>13863.5</v>
      </c>
      <c r="J25" s="402">
        <f>Data!AX283</f>
        <v>19348.342070999999</v>
      </c>
      <c r="K25" s="402">
        <f>Data!AY283</f>
        <v>87137.42</v>
      </c>
      <c r="L25" s="402">
        <f>Data!AZ283</f>
        <v>13863.5</v>
      </c>
      <c r="M25" s="402">
        <f>Data!BA283</f>
        <v>18934.330879000001</v>
      </c>
    </row>
    <row r="26" spans="1:13" x14ac:dyDescent="0.25">
      <c r="B26" t="s">
        <v>997</v>
      </c>
      <c r="E26" s="403">
        <f>Data!AS284</f>
        <v>1.19</v>
      </c>
      <c r="F26" s="403">
        <f>Data!AT284</f>
        <v>113318.76000000001</v>
      </c>
      <c r="G26" s="403">
        <f>Data!AU284</f>
        <v>38458.120000000003</v>
      </c>
      <c r="H26" s="403">
        <f>Data!AV284</f>
        <v>87137.42</v>
      </c>
      <c r="I26" s="403">
        <f>Data!AW284</f>
        <v>13863.5</v>
      </c>
      <c r="J26" s="403">
        <f>Data!AX284</f>
        <v>19348.342070999999</v>
      </c>
      <c r="K26" s="403">
        <f>Data!AY284</f>
        <v>87137.42</v>
      </c>
      <c r="L26" s="403">
        <f>Data!AZ284</f>
        <v>13863.5</v>
      </c>
      <c r="M26" s="403">
        <f>Data!BA284</f>
        <v>18934.330879000001</v>
      </c>
    </row>
    <row r="27" spans="1:13" x14ac:dyDescent="0.25">
      <c r="E27" s="402">
        <f>Data!AS285</f>
        <v>0</v>
      </c>
      <c r="F27" s="402">
        <f>Data!AT285</f>
        <v>0</v>
      </c>
      <c r="G27" s="402">
        <f>Data!AU285</f>
        <v>0</v>
      </c>
      <c r="H27" s="402">
        <f>Data!AV285</f>
        <v>0</v>
      </c>
      <c r="I27" s="402">
        <f>Data!AW285</f>
        <v>0</v>
      </c>
      <c r="J27" s="402">
        <f>Data!AX285</f>
        <v>0</v>
      </c>
      <c r="K27" s="402">
        <f>Data!AY285</f>
        <v>0</v>
      </c>
      <c r="L27" s="402">
        <f>Data!AZ285</f>
        <v>0</v>
      </c>
      <c r="M27" s="402">
        <f>Data!BA285</f>
        <v>0</v>
      </c>
    </row>
    <row r="28" spans="1:13" x14ac:dyDescent="0.25">
      <c r="A28" s="396" t="s">
        <v>998</v>
      </c>
      <c r="E28" s="404">
        <f>Data!AS286</f>
        <v>112.00000000000001</v>
      </c>
      <c r="F28" s="404">
        <f>Data!AT286</f>
        <v>5923318.9499999993</v>
      </c>
      <c r="G28" s="404">
        <f>Data!AU286</f>
        <v>2573630.5100000002</v>
      </c>
      <c r="H28" s="404">
        <f>Data!AV286</f>
        <v>6070105.4399999995</v>
      </c>
      <c r="I28" s="404">
        <f>Data!AW286</f>
        <v>1304800</v>
      </c>
      <c r="J28" s="404">
        <f>Data!AX286</f>
        <v>1362675.9243404001</v>
      </c>
      <c r="K28" s="404">
        <f>Data!AY286</f>
        <v>6070105.4399999995</v>
      </c>
      <c r="L28" s="404">
        <f>Data!AZ286</f>
        <v>1304800</v>
      </c>
      <c r="M28" s="404">
        <f>Data!BA286</f>
        <v>1333580.5169153998</v>
      </c>
    </row>
    <row r="29" spans="1:13" x14ac:dyDescent="0.25">
      <c r="E29" s="402">
        <f>Data!AS287</f>
        <v>0</v>
      </c>
      <c r="F29" s="402">
        <f>Data!AT287</f>
        <v>0</v>
      </c>
      <c r="G29" s="402">
        <f>Data!AU287</f>
        <v>0</v>
      </c>
      <c r="H29" s="402">
        <f>Data!AV287</f>
        <v>0</v>
      </c>
      <c r="I29" s="402">
        <f>Data!AW287</f>
        <v>0</v>
      </c>
      <c r="J29" s="402">
        <f>Data!AX287</f>
        <v>0</v>
      </c>
      <c r="K29" s="402">
        <f>Data!AY287</f>
        <v>0</v>
      </c>
      <c r="L29" s="402">
        <f>Data!AZ287</f>
        <v>0</v>
      </c>
      <c r="M29" s="402">
        <f>Data!BA287</f>
        <v>0</v>
      </c>
    </row>
    <row r="30" spans="1:13" x14ac:dyDescent="0.25">
      <c r="A30" s="392" t="s">
        <v>999</v>
      </c>
      <c r="E30" s="402">
        <f>Data!AS288</f>
        <v>0</v>
      </c>
      <c r="F30" s="402">
        <f>Data!AT288</f>
        <v>0</v>
      </c>
      <c r="G30" s="402">
        <f>Data!AU288</f>
        <v>0</v>
      </c>
      <c r="H30" s="402">
        <f>Data!AV288</f>
        <v>0</v>
      </c>
      <c r="I30" s="402">
        <f>Data!AW288</f>
        <v>0</v>
      </c>
      <c r="J30" s="402">
        <f>Data!AX288</f>
        <v>0</v>
      </c>
      <c r="K30" s="402">
        <f>Data!AY288</f>
        <v>0</v>
      </c>
      <c r="L30" s="402">
        <f>Data!AZ288</f>
        <v>0</v>
      </c>
      <c r="M30" s="402">
        <f>Data!BA288</f>
        <v>0</v>
      </c>
    </row>
    <row r="31" spans="1:13" x14ac:dyDescent="0.25">
      <c r="C31" t="s">
        <v>889</v>
      </c>
      <c r="E31" s="402">
        <f>Data!AS289</f>
        <v>0</v>
      </c>
      <c r="F31" s="402">
        <f>Data!AT289</f>
        <v>1925</v>
      </c>
      <c r="G31" s="402">
        <f>Data!AU289</f>
        <v>399.55</v>
      </c>
      <c r="H31" s="402">
        <f>Data!AV289</f>
        <v>1925</v>
      </c>
      <c r="I31" s="402">
        <f>Data!AW289</f>
        <v>0</v>
      </c>
      <c r="J31" s="402">
        <f>Data!AX289</f>
        <v>399.55</v>
      </c>
      <c r="K31" s="402">
        <f>Data!AY289</f>
        <v>1925</v>
      </c>
      <c r="L31" s="402">
        <f>Data!AZ289</f>
        <v>0</v>
      </c>
      <c r="M31" s="402">
        <f>Data!BA289</f>
        <v>399.55</v>
      </c>
    </row>
    <row r="32" spans="1:13" x14ac:dyDescent="0.25">
      <c r="B32" t="s">
        <v>985</v>
      </c>
      <c r="E32" s="403">
        <f>Data!AS290</f>
        <v>0</v>
      </c>
      <c r="F32" s="403">
        <f>Data!AT290</f>
        <v>1925</v>
      </c>
      <c r="G32" s="403">
        <f>Data!AU290</f>
        <v>399.55</v>
      </c>
      <c r="H32" s="403">
        <f>Data!AV290</f>
        <v>1925</v>
      </c>
      <c r="I32" s="403">
        <f>Data!AW290</f>
        <v>0</v>
      </c>
      <c r="J32" s="403">
        <f>Data!AX290</f>
        <v>399.55</v>
      </c>
      <c r="K32" s="403">
        <f>Data!AY290</f>
        <v>1925</v>
      </c>
      <c r="L32" s="403">
        <f>Data!AZ290</f>
        <v>0</v>
      </c>
      <c r="M32" s="403">
        <f>Data!BA290</f>
        <v>399.55</v>
      </c>
    </row>
    <row r="33" spans="1:13" x14ac:dyDescent="0.25">
      <c r="C33" t="s">
        <v>988</v>
      </c>
      <c r="E33" s="402">
        <f>Data!AS291</f>
        <v>0</v>
      </c>
      <c r="F33" s="402">
        <f>Data!AT291</f>
        <v>9212.15</v>
      </c>
      <c r="G33" s="402">
        <f>Data!AU291</f>
        <v>2532.79</v>
      </c>
      <c r="H33" s="402">
        <f>Data!AV291</f>
        <v>9212.15</v>
      </c>
      <c r="I33" s="402">
        <f>Data!AW291</f>
        <v>0</v>
      </c>
      <c r="J33" s="402">
        <f>Data!AX291</f>
        <v>2532.79</v>
      </c>
      <c r="K33" s="402">
        <f>Data!AY291</f>
        <v>9212.15</v>
      </c>
      <c r="L33" s="402">
        <f>Data!AZ291</f>
        <v>0</v>
      </c>
      <c r="M33" s="402">
        <f>Data!BA291</f>
        <v>2532.79</v>
      </c>
    </row>
    <row r="34" spans="1:13" x14ac:dyDescent="0.25">
      <c r="C34" t="s">
        <v>990</v>
      </c>
      <c r="E34" s="402">
        <f>Data!AS292</f>
        <v>0</v>
      </c>
      <c r="F34" s="402">
        <f>Data!AT292</f>
        <v>1140</v>
      </c>
      <c r="G34" s="402">
        <f>Data!AU292</f>
        <v>97.37</v>
      </c>
      <c r="H34" s="402">
        <f>Data!AV292</f>
        <v>1140</v>
      </c>
      <c r="I34" s="402">
        <f>Data!AW292</f>
        <v>0</v>
      </c>
      <c r="J34" s="402">
        <f>Data!AX292</f>
        <v>97.37</v>
      </c>
      <c r="K34" s="402">
        <f>Data!AY292</f>
        <v>1140</v>
      </c>
      <c r="L34" s="402">
        <f>Data!AZ292</f>
        <v>0</v>
      </c>
      <c r="M34" s="402">
        <f>Data!BA292</f>
        <v>97.37</v>
      </c>
    </row>
    <row r="35" spans="1:13" x14ac:dyDescent="0.25">
      <c r="B35" t="s">
        <v>991</v>
      </c>
      <c r="E35" s="403">
        <f>Data!AS293</f>
        <v>0</v>
      </c>
      <c r="F35" s="403">
        <f>Data!AT293</f>
        <v>10352.15</v>
      </c>
      <c r="G35" s="403">
        <f>Data!AU293</f>
        <v>2630.16</v>
      </c>
      <c r="H35" s="403">
        <f>Data!AV293</f>
        <v>10352.15</v>
      </c>
      <c r="I35" s="403">
        <f>Data!AW293</f>
        <v>0</v>
      </c>
      <c r="J35" s="403">
        <f>Data!AX293</f>
        <v>2630.16</v>
      </c>
      <c r="K35" s="403">
        <f>Data!AY293</f>
        <v>10352.15</v>
      </c>
      <c r="L35" s="403">
        <f>Data!AZ293</f>
        <v>0</v>
      </c>
      <c r="M35" s="403">
        <f>Data!BA293</f>
        <v>2630.16</v>
      </c>
    </row>
    <row r="36" spans="1:13" x14ac:dyDescent="0.25">
      <c r="C36" t="s">
        <v>930</v>
      </c>
      <c r="E36" s="402">
        <f>Data!AS294</f>
        <v>0</v>
      </c>
      <c r="F36" s="402">
        <f>Data!AT294</f>
        <v>6480</v>
      </c>
      <c r="G36" s="402">
        <f>Data!AU294</f>
        <v>920.75</v>
      </c>
      <c r="H36" s="402">
        <f>Data!AV294</f>
        <v>6480</v>
      </c>
      <c r="I36" s="402">
        <f>Data!AW294</f>
        <v>0</v>
      </c>
      <c r="J36" s="402">
        <f>Data!AX294</f>
        <v>920.75</v>
      </c>
      <c r="K36" s="402">
        <f>Data!AY294</f>
        <v>6480</v>
      </c>
      <c r="L36" s="402">
        <f>Data!AZ294</f>
        <v>0</v>
      </c>
      <c r="M36" s="402">
        <f>Data!BA294</f>
        <v>920.75</v>
      </c>
    </row>
    <row r="37" spans="1:13" x14ac:dyDescent="0.25">
      <c r="B37" t="s">
        <v>992</v>
      </c>
      <c r="E37" s="403">
        <f>Data!AS295</f>
        <v>0</v>
      </c>
      <c r="F37" s="403">
        <f>Data!AT295</f>
        <v>6480</v>
      </c>
      <c r="G37" s="403">
        <f>Data!AU295</f>
        <v>920.75</v>
      </c>
      <c r="H37" s="403">
        <f>Data!AV295</f>
        <v>6480</v>
      </c>
      <c r="I37" s="403">
        <f>Data!AW295</f>
        <v>0</v>
      </c>
      <c r="J37" s="403">
        <f>Data!AX295</f>
        <v>920.75</v>
      </c>
      <c r="K37" s="403">
        <f>Data!AY295</f>
        <v>6480</v>
      </c>
      <c r="L37" s="403">
        <f>Data!AZ295</f>
        <v>0</v>
      </c>
      <c r="M37" s="403">
        <f>Data!BA295</f>
        <v>920.75</v>
      </c>
    </row>
    <row r="38" spans="1:13" x14ac:dyDescent="0.25">
      <c r="E38" s="402">
        <f>Data!AS296</f>
        <v>0</v>
      </c>
      <c r="F38" s="402">
        <f>Data!AT296</f>
        <v>0</v>
      </c>
      <c r="G38" s="402">
        <f>Data!AU296</f>
        <v>0</v>
      </c>
      <c r="H38" s="402">
        <f>Data!AV296</f>
        <v>0</v>
      </c>
      <c r="I38" s="402">
        <f>Data!AW296</f>
        <v>0</v>
      </c>
      <c r="J38" s="402">
        <f>Data!AX296</f>
        <v>0</v>
      </c>
      <c r="K38" s="402">
        <f>Data!AY296</f>
        <v>0</v>
      </c>
      <c r="L38" s="402">
        <f>Data!AZ296</f>
        <v>0</v>
      </c>
      <c r="M38" s="402">
        <f>Data!BA296</f>
        <v>0</v>
      </c>
    </row>
    <row r="39" spans="1:13" x14ac:dyDescent="0.25">
      <c r="A39" s="396" t="s">
        <v>1000</v>
      </c>
      <c r="E39" s="404">
        <f>Data!AS297</f>
        <v>0</v>
      </c>
      <c r="F39" s="404">
        <f>Data!AT297</f>
        <v>18757.150000000001</v>
      </c>
      <c r="G39" s="404">
        <f>Data!AU297</f>
        <v>3950.46</v>
      </c>
      <c r="H39" s="404">
        <f>Data!AV297</f>
        <v>18757.150000000001</v>
      </c>
      <c r="I39" s="404">
        <f>Data!AW297</f>
        <v>0</v>
      </c>
      <c r="J39" s="404">
        <f>Data!AX297</f>
        <v>3950.46</v>
      </c>
      <c r="K39" s="404">
        <f>Data!AY297</f>
        <v>18757.150000000001</v>
      </c>
      <c r="L39" s="404">
        <f>Data!AZ297</f>
        <v>0</v>
      </c>
      <c r="M39" s="404">
        <f>Data!BA297</f>
        <v>3950.46</v>
      </c>
    </row>
    <row r="40" spans="1:13" x14ac:dyDescent="0.25">
      <c r="E40" s="402">
        <f>Data!AS298</f>
        <v>0</v>
      </c>
      <c r="F40" s="402">
        <f>Data!AT298</f>
        <v>0</v>
      </c>
      <c r="G40" s="402">
        <f>Data!AU298</f>
        <v>0</v>
      </c>
      <c r="H40" s="402">
        <f>Data!AV298</f>
        <v>0</v>
      </c>
      <c r="I40" s="402">
        <f>Data!AW298</f>
        <v>0</v>
      </c>
      <c r="J40" s="402">
        <f>Data!AX298</f>
        <v>0</v>
      </c>
      <c r="K40" s="402">
        <f>Data!AY298</f>
        <v>0</v>
      </c>
      <c r="L40" s="402">
        <f>Data!AZ298</f>
        <v>0</v>
      </c>
      <c r="M40" s="402">
        <f>Data!BA298</f>
        <v>0</v>
      </c>
    </row>
    <row r="41" spans="1:13" x14ac:dyDescent="0.25">
      <c r="A41" s="397" t="s">
        <v>1001</v>
      </c>
      <c r="E41" s="400">
        <f>Data!AS299</f>
        <v>112.00000000000001</v>
      </c>
      <c r="F41" s="401">
        <f>Data!AT299</f>
        <v>5942076.0999999996</v>
      </c>
      <c r="G41" s="401">
        <f>Data!AU299</f>
        <v>2577580.9700000002</v>
      </c>
      <c r="H41" s="401">
        <f>Data!AV299</f>
        <v>6088862.5899999999</v>
      </c>
      <c r="I41" s="401">
        <f>Data!AW299</f>
        <v>1304800</v>
      </c>
      <c r="J41" s="401">
        <f>Data!AX299</f>
        <v>1366626.3843404001</v>
      </c>
      <c r="K41" s="401">
        <f>Data!AY299</f>
        <v>6088862.5899999999</v>
      </c>
      <c r="L41" s="401">
        <f>Data!AZ299</f>
        <v>1304800</v>
      </c>
      <c r="M41" s="401">
        <f>Data!BA299</f>
        <v>1337530.9769153998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Department of Administration&amp;R&amp;"Arial"&amp;10 Agency 200</oddHeader>
    <oddFooter>&amp;L&amp;"Arial"&amp;10 B6:Summary by Fund&amp;R&amp;"Arial"&amp;10 FY 2022 Request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C090-1255-455C-9983-EB170AF0F7F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903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901</v>
      </c>
      <c r="J5" s="411"/>
      <c r="K5" s="411"/>
      <c r="L5" s="410"/>
      <c r="M5" s="352" t="s">
        <v>115</v>
      </c>
      <c r="N5" s="32" t="s">
        <v>902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"&amp;'ADAA|0450-00'!FiscalYear-1&amp;" SALARY"</f>
        <v>FY 2022 SALARY</v>
      </c>
      <c r="H8" s="50" t="str">
        <f>"FY "&amp;'ADAA|0450-00'!FiscalYear-1&amp;" HEALTH BENEFITS"</f>
        <v>FY 2022 HEALTH BENEFITS</v>
      </c>
      <c r="I8" s="50" t="str">
        <f>"FY "&amp;'ADAA|0450-00'!FiscalYear-1&amp;" VAR BENEFITS"</f>
        <v>FY 2022 VAR BENEFITS</v>
      </c>
      <c r="J8" s="50" t="str">
        <f>"FY "&amp;'ADAA|0450-00'!FiscalYear-1&amp;" TOTAL"</f>
        <v>FY 2022 TOTAL</v>
      </c>
      <c r="K8" s="50" t="str">
        <f>"FY "&amp;'ADAA|0450-00'!FiscalYear&amp;" SALARY CHANGE"</f>
        <v>FY 2023 SALARY CHANGE</v>
      </c>
      <c r="L8" s="50" t="str">
        <f>"FY "&amp;'ADAA|0450-00'!FiscalYear&amp;" CHG HEALTH BENEFITS"</f>
        <v>FY 2023 CHG HEALTH BENEFITS</v>
      </c>
      <c r="M8" s="50" t="str">
        <f>"FY "&amp;'ADAA|0450-00'!FiscalYear&amp;"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[0]!ADAA045000col_INC_FTI</f>
        <v>4.7</v>
      </c>
      <c r="G10" s="218">
        <f>[0]!ADAA045000col_FTI_SALARY_PERM</f>
        <v>331659.73999999993</v>
      </c>
      <c r="H10" s="218">
        <f>[0]!ADAA045000col_HEALTH_PERM</f>
        <v>54755</v>
      </c>
      <c r="I10" s="218">
        <f>[0]!ADAA045000col_TOT_VB_PERM</f>
        <v>73884.761094600006</v>
      </c>
      <c r="J10" s="219">
        <f>SUM(G10:I10)</f>
        <v>460299.50109459995</v>
      </c>
      <c r="K10" s="219">
        <f>[0]!ADAA045000col_1_27TH_PP</f>
        <v>0</v>
      </c>
      <c r="L10" s="218">
        <f>[0]!ADAA045000col_HEALTH_PERM_CHG</f>
        <v>0</v>
      </c>
      <c r="M10" s="218">
        <f>[0]!ADAA045000col_TOT_VB_PERM_CHG</f>
        <v>-1327.0024669999998</v>
      </c>
      <c r="N10" s="218">
        <f>SUM(L10:M10)</f>
        <v>-1327.0024669999998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3300</v>
      </c>
      <c r="AB10" s="335">
        <f>ROUND(PermVarBen*CECPerm+(CECPerm*PermVarBenChg),-2)</f>
        <v>700</v>
      </c>
      <c r="AC10" s="335">
        <f>SUM(AA10:AB10)</f>
        <v>4000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[0]!ADAA045000col_Group_Salary</f>
        <v>0</v>
      </c>
      <c r="H11" s="218">
        <v>0</v>
      </c>
      <c r="I11" s="218">
        <f>[0]!ADAA045000col_Group_Ben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[0]!ADAA045000col_TOTAL_ELECT_PCN_FTI</f>
        <v>0</v>
      </c>
      <c r="G12" s="218">
        <f>[0]!ADAA045000col_FTI_SALARY_ELECT</f>
        <v>0</v>
      </c>
      <c r="H12" s="218">
        <f>[0]!ADAA045000col_HEALTH_ELECT</f>
        <v>0</v>
      </c>
      <c r="I12" s="218">
        <f>[0]!ADAA045000col_TOT_VB_ELECT</f>
        <v>0</v>
      </c>
      <c r="J12" s="219">
        <f>SUM(G12:I12)</f>
        <v>0</v>
      </c>
      <c r="K12" s="268"/>
      <c r="L12" s="218">
        <f>[0]!ADAA045000col_HEALTH_ELECT_CHG</f>
        <v>0</v>
      </c>
      <c r="M12" s="218">
        <f>[0]!ADAA045000col_TOT_VB_ELECT_CHG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4.7</v>
      </c>
      <c r="G13" s="221">
        <f>SUM(G10:G12)</f>
        <v>331659.73999999993</v>
      </c>
      <c r="H13" s="221">
        <f>SUM(H10:H12)</f>
        <v>54755</v>
      </c>
      <c r="I13" s="221">
        <f>SUM(I10:I12)</f>
        <v>73884.761094600006</v>
      </c>
      <c r="J13" s="219">
        <f>SUM(G13:I13)</f>
        <v>460299.50109459995</v>
      </c>
      <c r="K13" s="268"/>
      <c r="L13" s="219">
        <f>SUM(L10:L12)</f>
        <v>0</v>
      </c>
      <c r="M13" s="219">
        <f>SUM(M10:M12)</f>
        <v>-1327.0024669999998</v>
      </c>
      <c r="N13" s="219">
        <f>SUM(N10:N12)</f>
        <v>-1327.0024669999998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"&amp;'ADAA|0450-00'!FiscalYear-1</f>
        <v>FY 2022</v>
      </c>
      <c r="D15" s="158" t="s">
        <v>31</v>
      </c>
      <c r="E15" s="355">
        <v>547600</v>
      </c>
      <c r="F15" s="55">
        <v>5.0999999999999996</v>
      </c>
      <c r="G15" s="223">
        <f>IF(OrigApprop=0,0,(G13/$J$13)*OrigApprop)</f>
        <v>394562.39511907357</v>
      </c>
      <c r="H15" s="223">
        <f>IF(OrigApprop=0,0,(H13/$J$13)*OrigApprop)</f>
        <v>65139.844663524353</v>
      </c>
      <c r="I15" s="223">
        <f>IF(G15=0,0,(I13/$J$13)*OrigApprop)</f>
        <v>87897.760217402116</v>
      </c>
      <c r="J15" s="223">
        <f>SUM(G15:I15)</f>
        <v>547600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0.39999999999999947</v>
      </c>
      <c r="G16" s="162">
        <f>G15-G13</f>
        <v>62902.655119073635</v>
      </c>
      <c r="H16" s="162">
        <f>H15-H13</f>
        <v>10384.844663524353</v>
      </c>
      <c r="I16" s="162">
        <f>I15-I13</f>
        <v>14012.99912280211</v>
      </c>
      <c r="J16" s="162">
        <f>J15-J13</f>
        <v>87300.498905400047</v>
      </c>
      <c r="K16" s="269"/>
      <c r="L16" s="56" t="str">
        <f>IF('ADAA|0450-00'!OrigApprop=0,"ERROR! Enter Original Appropriation amount in DU 3.00!","Calculated "&amp;IF('ADAA|0450-00'!AdjustedTotal&gt;0,"overfunding ","underfunding ")&amp;"is "&amp;TEXT('ADAA|0450-00'!AdjustedTotal/'ADAA|0450-00'!AppropTotal,"#.0%;(#.0% );0% ;")&amp;" of Original Appropriation")</f>
        <v>Calculated overfunding is 15.9%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4.7</v>
      </c>
      <c r="G38" s="191">
        <f>SUMIF($E10:$E35,$E38,$G10:$G35)</f>
        <v>331659.73999999993</v>
      </c>
      <c r="H38" s="192">
        <f>SUMIF($E10:$E35,$E38,$H10:$H35)</f>
        <v>54755</v>
      </c>
      <c r="I38" s="192">
        <f>SUMIF($E10:$E35,$E38,$I10:$I35)</f>
        <v>73884.761094600006</v>
      </c>
      <c r="J38" s="192">
        <f>SUM(G38:I38)</f>
        <v>460299.50109459995</v>
      </c>
      <c r="K38" s="166"/>
      <c r="L38" s="191">
        <f>SUMIF($E10:$E35,$E38,$L10:$L35)</f>
        <v>0</v>
      </c>
      <c r="M38" s="192">
        <f>SUMIF($E10:$E35,$E38,$M10:$M35)</f>
        <v>-1327.0024669999998</v>
      </c>
      <c r="N38" s="192">
        <f>SUM(L38:M38)</f>
        <v>-1327.0024669999998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3300</v>
      </c>
      <c r="AB38" s="338">
        <f>ROUND((AdjPermVB*CECPerm+AdjPermVBBY*CECPerm),-2)</f>
        <v>700</v>
      </c>
      <c r="AC38" s="338">
        <f>SUM(AA38:AB38)</f>
        <v>4000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4.7</v>
      </c>
      <c r="G41" s="195">
        <f>SUM($G$38:$G$40)</f>
        <v>331659.73999999993</v>
      </c>
      <c r="H41" s="162">
        <f>SUM($H$38:$H$40)</f>
        <v>54755</v>
      </c>
      <c r="I41" s="162">
        <f>SUM($I$38:$I$40)</f>
        <v>73884.761094600006</v>
      </c>
      <c r="J41" s="162">
        <f>SUM($J$38:$J$40)</f>
        <v>460299.50109459995</v>
      </c>
      <c r="K41" s="259"/>
      <c r="L41" s="195">
        <f>SUM($L$38:$L$40)</f>
        <v>0</v>
      </c>
      <c r="M41" s="162">
        <f>SUM($M$38:$M$40)</f>
        <v>-1327.0024669999998</v>
      </c>
      <c r="N41" s="162">
        <f>SUM(L41:M41)</f>
        <v>-1327.0024669999998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0.4</v>
      </c>
      <c r="G43" s="206">
        <f>ROUND(G51-G41,-2)</f>
        <v>62900</v>
      </c>
      <c r="H43" s="159">
        <f>ROUND(H51-H41,-2)</f>
        <v>10400</v>
      </c>
      <c r="I43" s="159">
        <f>ROUND(I51-I41,-2)</f>
        <v>14000</v>
      </c>
      <c r="J43" s="159">
        <f>SUM(G43:I43)</f>
        <v>87300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15.9%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0.4</v>
      </c>
      <c r="G44" s="206">
        <f>ROUND(G60-G41,-2)</f>
        <v>62900</v>
      </c>
      <c r="H44" s="159">
        <f>ROUND(H60-H41,-2)</f>
        <v>10300</v>
      </c>
      <c r="I44" s="159">
        <f>ROUND(I60-I41,-2)</f>
        <v>14000</v>
      </c>
      <c r="J44" s="159">
        <f>SUM(G44:I44)</f>
        <v>87200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15.9%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0.4</v>
      </c>
      <c r="G45" s="206">
        <f>ROUND(G67-G41-G63,-2)</f>
        <v>62900</v>
      </c>
      <c r="H45" s="206">
        <f>ROUND(H67-H41-H63,-2)</f>
        <v>10300</v>
      </c>
      <c r="I45" s="206">
        <f>ROUND(I67-I41-I63,-2)</f>
        <v>14000</v>
      </c>
      <c r="J45" s="159">
        <f>SUM(G45:I45)</f>
        <v>87200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15.9%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547600</v>
      </c>
      <c r="F51" s="272">
        <f>AppropFTP</f>
        <v>5.0999999999999996</v>
      </c>
      <c r="G51" s="274">
        <f>IF(E51=0,0,(G41/$J$41)*$E$51)</f>
        <v>394562.39511907357</v>
      </c>
      <c r="H51" s="274">
        <f>IF(E51=0,0,(H41/$J$41)*$E$51)</f>
        <v>65139.844663524353</v>
      </c>
      <c r="I51" s="275">
        <f>IF(E51=0,0,(I41/$J$41)*$E$51)</f>
        <v>87897.760217402116</v>
      </c>
      <c r="J51" s="90">
        <f>SUM(G51:I51)</f>
        <v>547600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5.0999999999999996</v>
      </c>
      <c r="G52" s="79">
        <f>ROUND(G51,-2)</f>
        <v>394600</v>
      </c>
      <c r="H52" s="79">
        <f>ROUND(H51,-2)</f>
        <v>65100</v>
      </c>
      <c r="I52" s="266">
        <f>ROUND(I51,-2)</f>
        <v>87900</v>
      </c>
      <c r="J52" s="80">
        <f>ROUND(J51,-2)</f>
        <v>547600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5.0999999999999996</v>
      </c>
      <c r="G56" s="80">
        <f>SUM(G52:G55)</f>
        <v>394600</v>
      </c>
      <c r="H56" s="80">
        <f>SUM(H52:H55)</f>
        <v>65100</v>
      </c>
      <c r="I56" s="260">
        <f>SUM(I52:I55)</f>
        <v>87900</v>
      </c>
      <c r="J56" s="80">
        <f>SUM(J52:J55)</f>
        <v>547600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5.0999999999999996</v>
      </c>
      <c r="G60" s="80">
        <f>SUM(G56:G59)</f>
        <v>394600</v>
      </c>
      <c r="H60" s="80">
        <f>SUM(H56:H59)</f>
        <v>65100</v>
      </c>
      <c r="I60" s="260">
        <f>SUM(I56:I59)</f>
        <v>87900</v>
      </c>
      <c r="J60" s="80">
        <f>SUM(J56:J59)</f>
        <v>547600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5.0999999999999996</v>
      </c>
      <c r="G67" s="80">
        <f>SUM(G60:G64)</f>
        <v>394600</v>
      </c>
      <c r="H67" s="80">
        <f>SUM(H60:H64)</f>
        <v>65100</v>
      </c>
      <c r="I67" s="80">
        <f>SUM(I60:I64)</f>
        <v>87900</v>
      </c>
      <c r="J67" s="80">
        <f>SUM(J60:J64)</f>
        <v>547600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-1300</v>
      </c>
      <c r="J69" s="287">
        <f>SUM(G69:I69)</f>
        <v>-1300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3300</v>
      </c>
      <c r="H72" s="287"/>
      <c r="I72" s="287">
        <f>ROUND(($G72*PermVBBY+$G72*Retire1BY),-2)</f>
        <v>700</v>
      </c>
      <c r="J72" s="113">
        <f>SUM(G72:I72)</f>
        <v>4000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5.0999999999999996</v>
      </c>
      <c r="G75" s="80">
        <f>SUM(G67:G74)</f>
        <v>397900</v>
      </c>
      <c r="H75" s="80">
        <f>SUM(H67:H74)</f>
        <v>65100</v>
      </c>
      <c r="I75" s="80">
        <f>SUM(I67:I74)</f>
        <v>87300</v>
      </c>
      <c r="J75" s="80">
        <f>SUM(J67:K74)</f>
        <v>550300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5.0999999999999996</v>
      </c>
      <c r="G80" s="80">
        <f>SUM(G75:G79)</f>
        <v>397900</v>
      </c>
      <c r="H80" s="80">
        <f>SUM(H75:H79)</f>
        <v>65100</v>
      </c>
      <c r="I80" s="80">
        <f>SUM(I75:I79)</f>
        <v>87300</v>
      </c>
      <c r="J80" s="80">
        <f>SUM(J75:J79)</f>
        <v>550300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90" priority="5">
      <formula>$J$44&lt;0</formula>
    </cfRule>
  </conditionalFormatting>
  <conditionalFormatting sqref="K43">
    <cfRule type="expression" dxfId="89" priority="4">
      <formula>$J$43&lt;0</formula>
    </cfRule>
  </conditionalFormatting>
  <conditionalFormatting sqref="L16">
    <cfRule type="expression" dxfId="88" priority="3">
      <formula>$J$16&lt;0</formula>
    </cfRule>
  </conditionalFormatting>
  <conditionalFormatting sqref="K45">
    <cfRule type="expression" dxfId="87" priority="2">
      <formula>$J$44&lt;0</formula>
    </cfRule>
  </conditionalFormatting>
  <conditionalFormatting sqref="K43:N45">
    <cfRule type="containsText" dxfId="8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0B945E-C673-4FDB-A74D-7C509D5647F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72AF-A713-43C2-BBF1-D0470CF848D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909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887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907</v>
      </c>
      <c r="J5" s="411"/>
      <c r="K5" s="411"/>
      <c r="L5" s="410"/>
      <c r="M5" s="352" t="s">
        <v>115</v>
      </c>
      <c r="N5" s="32" t="s">
        <v>908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"&amp;'ADAA|0519-00'!FiscalYear-1&amp;" SALARY"</f>
        <v>FY 2022 SALARY</v>
      </c>
      <c r="H8" s="50" t="str">
        <f>"FY "&amp;'ADAA|0519-00'!FiscalYear-1&amp;" HEALTH BENEFITS"</f>
        <v>FY 2022 HEALTH BENEFITS</v>
      </c>
      <c r="I8" s="50" t="str">
        <f>"FY "&amp;'ADAA|0519-00'!FiscalYear-1&amp;" VAR BENEFITS"</f>
        <v>FY 2022 VAR BENEFITS</v>
      </c>
      <c r="J8" s="50" t="str">
        <f>"FY "&amp;'ADAA|0519-00'!FiscalYear-1&amp;" TOTAL"</f>
        <v>FY 2022 TOTAL</v>
      </c>
      <c r="K8" s="50" t="str">
        <f>"FY "&amp;'ADAA|0519-00'!FiscalYear&amp;" SALARY CHANGE"</f>
        <v>FY 2023 SALARY CHANGE</v>
      </c>
      <c r="L8" s="50" t="str">
        <f>"FY "&amp;'ADAA|0519-00'!FiscalYear&amp;" CHG HEALTH BENEFITS"</f>
        <v>FY 2023 CHG HEALTH BENEFITS</v>
      </c>
      <c r="M8" s="50" t="str">
        <f>"FY "&amp;'ADAA|0519-00'!FiscalYear&amp;"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[0]!ADAA051900col_INC_FTI</f>
        <v>0.19</v>
      </c>
      <c r="G10" s="218">
        <f>[0]!ADAA051900col_FTI_SALARY_PERM</f>
        <v>10697.42</v>
      </c>
      <c r="H10" s="218">
        <f>[0]!ADAA051900col_HEALTH_PERM</f>
        <v>2213.5</v>
      </c>
      <c r="I10" s="218">
        <f>[0]!ADAA051900col_TOT_VB_PERM</f>
        <v>2385.5416710000004</v>
      </c>
      <c r="J10" s="219">
        <f>SUM(G10:I10)</f>
        <v>15296.461671000001</v>
      </c>
      <c r="K10" s="219">
        <f>[0]!ADAA051900col_1_27TH_PP</f>
        <v>0</v>
      </c>
      <c r="L10" s="218">
        <f>[0]!ADAA051900col_HEALTH_PERM_CHG</f>
        <v>0</v>
      </c>
      <c r="M10" s="218">
        <f>[0]!ADAA051900col_TOT_VB_PERM_CHG</f>
        <v>-39.455191999999997</v>
      </c>
      <c r="N10" s="218">
        <f>SUM(L10:M10)</f>
        <v>-39.455191999999997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[0]!ADAA051900col_Group_Salary</f>
        <v>0</v>
      </c>
      <c r="H11" s="218">
        <v>0</v>
      </c>
      <c r="I11" s="218">
        <f>[0]!ADAA051900col_Group_Ben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[0]!ADAA051900col_TOTAL_ELECT_PCN_FTI</f>
        <v>0</v>
      </c>
      <c r="G12" s="218">
        <f>[0]!ADAA051900col_FTI_SALARY_ELECT</f>
        <v>0</v>
      </c>
      <c r="H12" s="218">
        <f>[0]!ADAA051900col_HEALTH_ELECT</f>
        <v>0</v>
      </c>
      <c r="I12" s="218">
        <f>[0]!ADAA051900col_TOT_VB_ELECT</f>
        <v>0</v>
      </c>
      <c r="J12" s="219">
        <f>SUM(G12:I12)</f>
        <v>0</v>
      </c>
      <c r="K12" s="268"/>
      <c r="L12" s="218">
        <f>[0]!ADAA051900col_HEALTH_ELECT_CHG</f>
        <v>0</v>
      </c>
      <c r="M12" s="218">
        <f>[0]!ADAA051900col_TOT_VB_ELECT_CHG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0.19</v>
      </c>
      <c r="G13" s="221">
        <f>SUM(G10:G12)</f>
        <v>10697.42</v>
      </c>
      <c r="H13" s="221">
        <f>SUM(H10:H12)</f>
        <v>2213.5</v>
      </c>
      <c r="I13" s="221">
        <f>SUM(I10:I12)</f>
        <v>2385.5416710000004</v>
      </c>
      <c r="J13" s="219">
        <f>SUM(G13:I13)</f>
        <v>15296.461671000001</v>
      </c>
      <c r="K13" s="268"/>
      <c r="L13" s="219">
        <f>SUM(L10:L12)</f>
        <v>0</v>
      </c>
      <c r="M13" s="219">
        <f>SUM(M10:M12)</f>
        <v>-39.455191999999997</v>
      </c>
      <c r="N13" s="219">
        <f>SUM(N10:N12)</f>
        <v>-39.455191999999997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"&amp;'ADAA|0519-00'!FiscalYear-1</f>
        <v>FY 2022</v>
      </c>
      <c r="D15" s="158" t="s">
        <v>31</v>
      </c>
      <c r="E15" s="355">
        <v>24800</v>
      </c>
      <c r="F15" s="55">
        <v>0.2</v>
      </c>
      <c r="G15" s="223">
        <f>IF(OrigApprop=0,0,(G13/$J$13)*OrigApprop)</f>
        <v>17343.619832223354</v>
      </c>
      <c r="H15" s="223">
        <f>IF(OrigApprop=0,0,(H13/$J$13)*OrigApprop)</f>
        <v>3588.725365427028</v>
      </c>
      <c r="I15" s="223">
        <f>IF(G15=0,0,(I13/$J$13)*OrigApprop)</f>
        <v>3867.6548023496171</v>
      </c>
      <c r="J15" s="223">
        <f>SUM(G15:I15)</f>
        <v>24800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1.0000000000000009E-2</v>
      </c>
      <c r="G16" s="162">
        <f>G15-G13</f>
        <v>6646.199832223354</v>
      </c>
      <c r="H16" s="162">
        <f>H15-H13</f>
        <v>1375.225365427028</v>
      </c>
      <c r="I16" s="162">
        <f>I15-I13</f>
        <v>1482.1131313496167</v>
      </c>
      <c r="J16" s="162">
        <f>J15-J13</f>
        <v>9503.5383289999991</v>
      </c>
      <c r="K16" s="269"/>
      <c r="L16" s="56" t="str">
        <f>IF('ADAA|0519-00'!OrigApprop=0,"ERROR! Enter Original Appropriation amount in DU 3.00!","Calculated "&amp;IF('ADAA|0519-00'!AdjustedTotal&gt;0,"overfunding ","underfunding ")&amp;"is "&amp;TEXT('ADAA|0519-00'!AdjustedTotal/'ADAA|0519-00'!AppropTotal,"#.0%;(#.0% );0% ;")&amp;" of Original Appropriation")</f>
        <v>Calculated overfunding is 38.3%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0.19</v>
      </c>
      <c r="G38" s="191">
        <f>SUMIF($E10:$E35,$E38,$G10:$G35)</f>
        <v>10697.42</v>
      </c>
      <c r="H38" s="192">
        <f>SUMIF($E10:$E35,$E38,$H10:$H35)</f>
        <v>2213.5</v>
      </c>
      <c r="I38" s="192">
        <f>SUMIF($E10:$E35,$E38,$I10:$I35)</f>
        <v>2385.5416710000004</v>
      </c>
      <c r="J38" s="192">
        <f>SUM(G38:I38)</f>
        <v>15296.461671000001</v>
      </c>
      <c r="K38" s="166"/>
      <c r="L38" s="191">
        <f>SUMIF($E10:$E35,$E38,$L10:$L35)</f>
        <v>0</v>
      </c>
      <c r="M38" s="192">
        <f>SUMIF($E10:$E35,$E38,$M10:$M35)</f>
        <v>-39.455191999999997</v>
      </c>
      <c r="N38" s="192">
        <f>SUM(L38:M38)</f>
        <v>-39.455191999999997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0.19</v>
      </c>
      <c r="G41" s="195">
        <f>SUM($G$38:$G$40)</f>
        <v>10697.42</v>
      </c>
      <c r="H41" s="162">
        <f>SUM($H$38:$H$40)</f>
        <v>2213.5</v>
      </c>
      <c r="I41" s="162">
        <f>SUM($I$38:$I$40)</f>
        <v>2385.5416710000004</v>
      </c>
      <c r="J41" s="162">
        <f>SUM($J$38:$J$40)</f>
        <v>15296.461671000001</v>
      </c>
      <c r="K41" s="259"/>
      <c r="L41" s="195">
        <f>SUM($L$38:$L$40)</f>
        <v>0</v>
      </c>
      <c r="M41" s="162">
        <f>SUM($M$38:$M$40)</f>
        <v>-39.455191999999997</v>
      </c>
      <c r="N41" s="162">
        <f>SUM(L41:M41)</f>
        <v>-39.455191999999997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0.01</v>
      </c>
      <c r="G43" s="206">
        <f>ROUND(G51-G41,-2)</f>
        <v>6600</v>
      </c>
      <c r="H43" s="159">
        <f>ROUND(H51-H41,-2)</f>
        <v>1400</v>
      </c>
      <c r="I43" s="159">
        <f>ROUND(I51-I41,-2)</f>
        <v>1500</v>
      </c>
      <c r="J43" s="159">
        <f>SUM(G43:I43)</f>
        <v>9500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38.3%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0.01</v>
      </c>
      <c r="G44" s="206">
        <f>ROUND(G60-G41,-2)</f>
        <v>6600</v>
      </c>
      <c r="H44" s="159">
        <f>ROUND(H60-H41,-2)</f>
        <v>1400</v>
      </c>
      <c r="I44" s="159">
        <f>ROUND(I60-I41,-2)</f>
        <v>1500</v>
      </c>
      <c r="J44" s="159">
        <f>SUM(G44:I44)</f>
        <v>9500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38.3%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0.01</v>
      </c>
      <c r="G45" s="206">
        <f>ROUND(G67-G41-G63,-2)</f>
        <v>6600</v>
      </c>
      <c r="H45" s="206">
        <f>ROUND(H67-H41-H63,-2)</f>
        <v>1400</v>
      </c>
      <c r="I45" s="206">
        <f>ROUND(I67-I41-I63,-2)</f>
        <v>1500</v>
      </c>
      <c r="J45" s="159">
        <f>SUM(G45:I45)</f>
        <v>9500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38.3%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24800</v>
      </c>
      <c r="F51" s="272">
        <f>AppropFTP</f>
        <v>0.2</v>
      </c>
      <c r="G51" s="274">
        <f>IF(E51=0,0,(G41/$J$41)*$E$51)</f>
        <v>17343.619832223354</v>
      </c>
      <c r="H51" s="274">
        <f>IF(E51=0,0,(H41/$J$41)*$E$51)</f>
        <v>3588.725365427028</v>
      </c>
      <c r="I51" s="275">
        <f>IF(E51=0,0,(I41/$J$41)*$E$51)</f>
        <v>3867.6548023496171</v>
      </c>
      <c r="J51" s="90">
        <f>SUM(G51:I51)</f>
        <v>24800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0.2</v>
      </c>
      <c r="G52" s="79">
        <f>ROUND(G51,-2)</f>
        <v>17300</v>
      </c>
      <c r="H52" s="79">
        <f>ROUND(H51,-2)</f>
        <v>3600</v>
      </c>
      <c r="I52" s="266">
        <f>ROUND(I51,-2)</f>
        <v>3900</v>
      </c>
      <c r="J52" s="80">
        <f>ROUND(J51,-2)</f>
        <v>24800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0.2</v>
      </c>
      <c r="G56" s="80">
        <f>SUM(G52:G55)</f>
        <v>17300</v>
      </c>
      <c r="H56" s="80">
        <f>SUM(H52:H55)</f>
        <v>3600</v>
      </c>
      <c r="I56" s="260">
        <f>SUM(I52:I55)</f>
        <v>3900</v>
      </c>
      <c r="J56" s="80">
        <f>SUM(J52:J55)</f>
        <v>24800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0.2</v>
      </c>
      <c r="G60" s="80">
        <f>SUM(G56:G59)</f>
        <v>17300</v>
      </c>
      <c r="H60" s="80">
        <f>SUM(H56:H59)</f>
        <v>3600</v>
      </c>
      <c r="I60" s="260">
        <f>SUM(I56:I59)</f>
        <v>3900</v>
      </c>
      <c r="J60" s="80">
        <f>SUM(J56:J59)</f>
        <v>24800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0.2</v>
      </c>
      <c r="G67" s="80">
        <f>SUM(G60:G64)</f>
        <v>17300</v>
      </c>
      <c r="H67" s="80">
        <f>SUM(H60:H64)</f>
        <v>3600</v>
      </c>
      <c r="I67" s="80">
        <f>SUM(I60:I64)</f>
        <v>3900</v>
      </c>
      <c r="J67" s="80">
        <f>SUM(J60:J64)</f>
        <v>24800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0.2</v>
      </c>
      <c r="G75" s="80">
        <f>SUM(G67:G74)</f>
        <v>17400</v>
      </c>
      <c r="H75" s="80">
        <f>SUM(H67:H74)</f>
        <v>3600</v>
      </c>
      <c r="I75" s="80">
        <f>SUM(I67:I74)</f>
        <v>3900</v>
      </c>
      <c r="J75" s="80">
        <f>SUM(J67:K74)</f>
        <v>24900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0.2</v>
      </c>
      <c r="G80" s="80">
        <f>SUM(G75:G79)</f>
        <v>17400</v>
      </c>
      <c r="H80" s="80">
        <f>SUM(H75:H79)</f>
        <v>3600</v>
      </c>
      <c r="I80" s="80">
        <f>SUM(I75:I79)</f>
        <v>3900</v>
      </c>
      <c r="J80" s="80">
        <f>SUM(J75:J79)</f>
        <v>24900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85" priority="5">
      <formula>$J$44&lt;0</formula>
    </cfRule>
  </conditionalFormatting>
  <conditionalFormatting sqref="K43">
    <cfRule type="expression" dxfId="84" priority="4">
      <formula>$J$43&lt;0</formula>
    </cfRule>
  </conditionalFormatting>
  <conditionalFormatting sqref="L16">
    <cfRule type="expression" dxfId="83" priority="3">
      <formula>$J$16&lt;0</formula>
    </cfRule>
  </conditionalFormatting>
  <conditionalFormatting sqref="K45">
    <cfRule type="expression" dxfId="82" priority="2">
      <formula>$J$44&lt;0</formula>
    </cfRule>
  </conditionalFormatting>
  <conditionalFormatting sqref="K43:N45">
    <cfRule type="containsText" dxfId="8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E78E9-41D8-4F03-A1AE-79F01724D2F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D358-2138-498A-9F4E-B9752396676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896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267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894</v>
      </c>
      <c r="J5" s="411"/>
      <c r="K5" s="411"/>
      <c r="L5" s="410"/>
      <c r="M5" s="352" t="s">
        <v>115</v>
      </c>
      <c r="N5" s="32" t="s">
        <v>895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"&amp;'ADAC|0365-00'!FiscalYear-1&amp;" SALARY"</f>
        <v>FY 2022 SALARY</v>
      </c>
      <c r="H8" s="50" t="str">
        <f>"FY "&amp;'ADAC|0365-00'!FiscalYear-1&amp;" HEALTH BENEFITS"</f>
        <v>FY 2022 HEALTH BENEFITS</v>
      </c>
      <c r="I8" s="50" t="str">
        <f>"FY "&amp;'ADAC|0365-00'!FiscalYear-1&amp;" VAR BENEFITS"</f>
        <v>FY 2022 VAR BENEFITS</v>
      </c>
      <c r="J8" s="50" t="str">
        <f>"FY "&amp;'ADAC|0365-00'!FiscalYear-1&amp;" TOTAL"</f>
        <v>FY 2022 TOTAL</v>
      </c>
      <c r="K8" s="50" t="str">
        <f>"FY "&amp;'ADAC|0365-00'!FiscalYear&amp;" SALARY CHANGE"</f>
        <v>FY 2023 SALARY CHANGE</v>
      </c>
      <c r="L8" s="50" t="str">
        <f>"FY "&amp;'ADAC|0365-00'!FiscalYear&amp;" CHG HEALTH BENEFITS"</f>
        <v>FY 2023 CHG HEALTH BENEFITS</v>
      </c>
      <c r="M8" s="50" t="str">
        <f>"FY "&amp;'ADAC|0365-00'!FiscalYear&amp;"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[0]!ADAC036500col_INC_FTI</f>
        <v>24.8</v>
      </c>
      <c r="G10" s="218">
        <f>[0]!ADAC036500col_FTI_SALARY_PERM</f>
        <v>1500692.9600000002</v>
      </c>
      <c r="H10" s="218">
        <f>[0]!ADAC036500col_HEALTH_PERM</f>
        <v>288920</v>
      </c>
      <c r="I10" s="218">
        <f>[0]!ADAC036500col_TOT_VB_PERM</f>
        <v>337438.50460320007</v>
      </c>
      <c r="J10" s="219">
        <f>SUM(G10:I10)</f>
        <v>2127051.4646032001</v>
      </c>
      <c r="K10" s="219">
        <f>[0]!ADAC036500col_1_27TH_PP</f>
        <v>0</v>
      </c>
      <c r="L10" s="218">
        <f>[0]!ADAC036500col_HEALTH_PERM_CHG</f>
        <v>0</v>
      </c>
      <c r="M10" s="218">
        <f>[0]!ADAC036500col_TOT_VB_PERM_CHG</f>
        <v>-7353.3955039999992</v>
      </c>
      <c r="N10" s="218">
        <f>SUM(L10:M10)</f>
        <v>-7353.3955039999992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15000</v>
      </c>
      <c r="AB10" s="335">
        <f>ROUND(PermVarBen*CECPerm+(CECPerm*PermVarBenChg),-2)</f>
        <v>3300</v>
      </c>
      <c r="AC10" s="335">
        <f>SUM(AA10:AB10)</f>
        <v>18300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[0]!ADAC036500col_Group_Salary</f>
        <v>0</v>
      </c>
      <c r="H11" s="218">
        <v>0</v>
      </c>
      <c r="I11" s="218">
        <f>[0]!ADAC036500col_Group_Ben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[0]!ADAC036500col_TOTAL_ELECT_PCN_FTI</f>
        <v>0</v>
      </c>
      <c r="G12" s="218">
        <f>[0]!ADAC036500col_FTI_SALARY_ELECT</f>
        <v>0</v>
      </c>
      <c r="H12" s="218">
        <f>[0]!ADAC036500col_HEALTH_ELECT</f>
        <v>0</v>
      </c>
      <c r="I12" s="218">
        <f>[0]!ADAC036500col_TOT_VB_ELECT</f>
        <v>0</v>
      </c>
      <c r="J12" s="219">
        <f>SUM(G12:I12)</f>
        <v>0</v>
      </c>
      <c r="K12" s="268"/>
      <c r="L12" s="218">
        <f>[0]!ADAC036500col_HEALTH_ELECT_CHG</f>
        <v>0</v>
      </c>
      <c r="M12" s="218">
        <f>[0]!ADAC036500col_TOT_VB_ELECT_CHG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24.8</v>
      </c>
      <c r="G13" s="221">
        <f>SUM(G10:G12)</f>
        <v>1500692.9600000002</v>
      </c>
      <c r="H13" s="221">
        <f>SUM(H10:H12)</f>
        <v>288920</v>
      </c>
      <c r="I13" s="221">
        <f>SUM(I10:I12)</f>
        <v>337438.50460320007</v>
      </c>
      <c r="J13" s="219">
        <f>SUM(G13:I13)</f>
        <v>2127051.4646032001</v>
      </c>
      <c r="K13" s="268"/>
      <c r="L13" s="219">
        <f>SUM(L10:L12)</f>
        <v>0</v>
      </c>
      <c r="M13" s="219">
        <f>SUM(M10:M12)</f>
        <v>-7353.3955039999992</v>
      </c>
      <c r="N13" s="219">
        <f>SUM(N10:N12)</f>
        <v>-7353.3955039999992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"&amp;'ADAC|0365-00'!FiscalYear-1</f>
        <v>FY 2022</v>
      </c>
      <c r="D15" s="158" t="s">
        <v>31</v>
      </c>
      <c r="E15" s="355">
        <v>2316300</v>
      </c>
      <c r="F15" s="55">
        <v>26.5</v>
      </c>
      <c r="G15" s="223">
        <f>IF(OrigApprop=0,0,(G13/$J$13)*OrigApprop)</f>
        <v>1634212.9756115028</v>
      </c>
      <c r="H15" s="223">
        <f>IF(OrigApprop=0,0,(H13/$J$13)*OrigApprop)</f>
        <v>314625.85985188821</v>
      </c>
      <c r="I15" s="223">
        <f>IF(G15=0,0,(I13/$J$13)*OrigApprop)</f>
        <v>367461.16453660926</v>
      </c>
      <c r="J15" s="223">
        <f>SUM(G15:I15)</f>
        <v>2316300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1.6999999999999993</v>
      </c>
      <c r="G16" s="162">
        <f>G15-G13</f>
        <v>133520.01561150257</v>
      </c>
      <c r="H16" s="162">
        <f>H15-H13</f>
        <v>25705.859851888206</v>
      </c>
      <c r="I16" s="162">
        <f>I15-I13</f>
        <v>30022.659933409188</v>
      </c>
      <c r="J16" s="162">
        <f>J15-J13</f>
        <v>189248.53539679991</v>
      </c>
      <c r="K16" s="269"/>
      <c r="L16" s="56" t="str">
        <f>IF('ADAC|0365-00'!OrigApprop=0,"ERROR! Enter Original Appropriation amount in DU 3.00!","Calculated "&amp;IF('ADAC|0365-00'!AdjustedTotal&gt;0,"overfunding ","underfunding ")&amp;"is "&amp;TEXT('ADAC|0365-00'!AdjustedTotal/'ADAC|0365-00'!AppropTotal,"#.0%;(#.0% );0% ;")&amp;" of Original Appropriation")</f>
        <v>Calculated overfunding is 8.2%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24.8</v>
      </c>
      <c r="G38" s="191">
        <f>SUMIF($E10:$E35,$E38,$G10:$G35)</f>
        <v>1500692.9600000002</v>
      </c>
      <c r="H38" s="192">
        <f>SUMIF($E10:$E35,$E38,$H10:$H35)</f>
        <v>288920</v>
      </c>
      <c r="I38" s="192">
        <f>SUMIF($E10:$E35,$E38,$I10:$I35)</f>
        <v>337438.50460320007</v>
      </c>
      <c r="J38" s="192">
        <f>SUM(G38:I38)</f>
        <v>2127051.4646032001</v>
      </c>
      <c r="K38" s="166"/>
      <c r="L38" s="191">
        <f>SUMIF($E10:$E35,$E38,$L10:$L35)</f>
        <v>0</v>
      </c>
      <c r="M38" s="192">
        <f>SUMIF($E10:$E35,$E38,$M10:$M35)</f>
        <v>-7353.3955039999992</v>
      </c>
      <c r="N38" s="192">
        <f>SUM(L38:M38)</f>
        <v>-7353.3955039999992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15000</v>
      </c>
      <c r="AB38" s="338">
        <f>ROUND((AdjPermVB*CECPerm+AdjPermVBBY*CECPerm),-2)</f>
        <v>3300</v>
      </c>
      <c r="AC38" s="338">
        <f>SUM(AA38:AB38)</f>
        <v>18300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24.8</v>
      </c>
      <c r="G41" s="195">
        <f>SUM($G$38:$G$40)</f>
        <v>1500692.9600000002</v>
      </c>
      <c r="H41" s="162">
        <f>SUM($H$38:$H$40)</f>
        <v>288920</v>
      </c>
      <c r="I41" s="162">
        <f>SUM($I$38:$I$40)</f>
        <v>337438.50460320007</v>
      </c>
      <c r="J41" s="162">
        <f>SUM($J$38:$J$40)</f>
        <v>2127051.4646032001</v>
      </c>
      <c r="K41" s="259"/>
      <c r="L41" s="195">
        <f>SUM($L$38:$L$40)</f>
        <v>0</v>
      </c>
      <c r="M41" s="162">
        <f>SUM($M$38:$M$40)</f>
        <v>-7353.3955039999992</v>
      </c>
      <c r="N41" s="162">
        <f>SUM(L41:M41)</f>
        <v>-7353.3955039999992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1.7</v>
      </c>
      <c r="G43" s="206">
        <f>ROUND(G51-G41,-2)</f>
        <v>133500</v>
      </c>
      <c r="H43" s="159">
        <f>ROUND(H51-H41,-2)</f>
        <v>25700</v>
      </c>
      <c r="I43" s="159">
        <f>ROUND(I51-I41,-2)</f>
        <v>30000</v>
      </c>
      <c r="J43" s="159">
        <f>SUM(G43:I43)</f>
        <v>189200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8.2%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1.7</v>
      </c>
      <c r="G44" s="206">
        <f>ROUND(G60-G41,-2)</f>
        <v>133500</v>
      </c>
      <c r="H44" s="159">
        <f>ROUND(H60-H41,-2)</f>
        <v>25700</v>
      </c>
      <c r="I44" s="159">
        <f>ROUND(I60-I41,-2)</f>
        <v>30100</v>
      </c>
      <c r="J44" s="159">
        <f>SUM(G44:I44)</f>
        <v>189300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8.2%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1.7</v>
      </c>
      <c r="G45" s="206">
        <f>ROUND(G67-G41-G63,-2)</f>
        <v>133500</v>
      </c>
      <c r="H45" s="206">
        <f>ROUND(H67-H41-H63,-2)</f>
        <v>25700</v>
      </c>
      <c r="I45" s="206">
        <f>ROUND(I67-I41-I63,-2)</f>
        <v>30100</v>
      </c>
      <c r="J45" s="159">
        <f>SUM(G45:I45)</f>
        <v>189300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8.2%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2316300</v>
      </c>
      <c r="F51" s="272">
        <f>AppropFTP</f>
        <v>26.5</v>
      </c>
      <c r="G51" s="274">
        <f>IF(E51=0,0,(G41/$J$41)*$E$51)</f>
        <v>1634212.9756115028</v>
      </c>
      <c r="H51" s="274">
        <f>IF(E51=0,0,(H41/$J$41)*$E$51)</f>
        <v>314625.85985188821</v>
      </c>
      <c r="I51" s="275">
        <f>IF(E51=0,0,(I41/$J$41)*$E$51)</f>
        <v>367461.16453660926</v>
      </c>
      <c r="J51" s="90">
        <f>SUM(G51:I51)</f>
        <v>2316300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26.5</v>
      </c>
      <c r="G52" s="79">
        <f>ROUND(G51,-2)</f>
        <v>1634200</v>
      </c>
      <c r="H52" s="79">
        <f>ROUND(H51,-2)</f>
        <v>314600</v>
      </c>
      <c r="I52" s="266">
        <f>ROUND(I51,-2)</f>
        <v>367500</v>
      </c>
      <c r="J52" s="80">
        <f>ROUND(J51,-2)</f>
        <v>2316300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26.5</v>
      </c>
      <c r="G56" s="80">
        <f>SUM(G52:G55)</f>
        <v>1634200</v>
      </c>
      <c r="H56" s="80">
        <f>SUM(H52:H55)</f>
        <v>314600</v>
      </c>
      <c r="I56" s="260">
        <f>SUM(I52:I55)</f>
        <v>367500</v>
      </c>
      <c r="J56" s="80">
        <f>SUM(J52:J55)</f>
        <v>2316300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26.5</v>
      </c>
      <c r="G60" s="80">
        <f>SUM(G56:G59)</f>
        <v>1634200</v>
      </c>
      <c r="H60" s="80">
        <f>SUM(H56:H59)</f>
        <v>314600</v>
      </c>
      <c r="I60" s="260">
        <f>SUM(I56:I59)</f>
        <v>367500</v>
      </c>
      <c r="J60" s="80">
        <f>SUM(J56:J59)</f>
        <v>2316300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26.5</v>
      </c>
      <c r="G67" s="80">
        <f>SUM(G60:G64)</f>
        <v>1634200</v>
      </c>
      <c r="H67" s="80">
        <f>SUM(H60:H64)</f>
        <v>314600</v>
      </c>
      <c r="I67" s="80">
        <f>SUM(I60:I64)</f>
        <v>367500</v>
      </c>
      <c r="J67" s="80">
        <f>SUM(J60:J64)</f>
        <v>2316300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-7400</v>
      </c>
      <c r="J69" s="287">
        <f>SUM(G69:I69)</f>
        <v>-7400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15000</v>
      </c>
      <c r="H72" s="287"/>
      <c r="I72" s="287">
        <f>ROUND(($G72*PermVBBY+$G72*Retire1BY),-2)</f>
        <v>3300</v>
      </c>
      <c r="J72" s="113">
        <f>SUM(G72:I72)</f>
        <v>18300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26.5</v>
      </c>
      <c r="G75" s="80">
        <f>SUM(G67:G74)</f>
        <v>1649200</v>
      </c>
      <c r="H75" s="80">
        <f>SUM(H67:H74)</f>
        <v>314600</v>
      </c>
      <c r="I75" s="80">
        <f>SUM(I67:I74)</f>
        <v>363400</v>
      </c>
      <c r="J75" s="80">
        <f>SUM(J67:K74)</f>
        <v>2327200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26.5</v>
      </c>
      <c r="G80" s="80">
        <f>SUM(G75:G79)</f>
        <v>1649200</v>
      </c>
      <c r="H80" s="80">
        <f>SUM(H75:H79)</f>
        <v>314600</v>
      </c>
      <c r="I80" s="80">
        <f>SUM(I75:I79)</f>
        <v>363400</v>
      </c>
      <c r="J80" s="80">
        <f>SUM(J75:J79)</f>
        <v>2327200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80" priority="5">
      <formula>$J$44&lt;0</formula>
    </cfRule>
  </conditionalFormatting>
  <conditionalFormatting sqref="K43">
    <cfRule type="expression" dxfId="79" priority="4">
      <formula>$J$43&lt;0</formula>
    </cfRule>
  </conditionalFormatting>
  <conditionalFormatting sqref="L16">
    <cfRule type="expression" dxfId="78" priority="3">
      <formula>$J$16&lt;0</formula>
    </cfRule>
  </conditionalFormatting>
  <conditionalFormatting sqref="K45">
    <cfRule type="expression" dxfId="77" priority="2">
      <formula>$J$44&lt;0</formula>
    </cfRule>
  </conditionalFormatting>
  <conditionalFormatting sqref="K43:N45">
    <cfRule type="containsText" dxfId="7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ACBCDF-4963-40C2-9CF2-71863C2C54A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21CC-87C0-46D5-873E-571E5F4FB21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903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913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267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901</v>
      </c>
      <c r="J5" s="411"/>
      <c r="K5" s="411"/>
      <c r="L5" s="410"/>
      <c r="M5" s="352" t="s">
        <v>115</v>
      </c>
      <c r="N5" s="32" t="s">
        <v>902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"&amp;'ADAC|0450-00'!FiscalYear-1&amp;" SALARY"</f>
        <v>FY 2022 SALARY</v>
      </c>
      <c r="H8" s="50" t="str">
        <f>"FY "&amp;'ADAC|0450-00'!FiscalYear-1&amp;" HEALTH BENEFITS"</f>
        <v>FY 2022 HEALTH BENEFITS</v>
      </c>
      <c r="I8" s="50" t="str">
        <f>"FY "&amp;'ADAC|0450-00'!FiscalYear-1&amp;" VAR BENEFITS"</f>
        <v>FY 2022 VAR BENEFITS</v>
      </c>
      <c r="J8" s="50" t="str">
        <f>"FY "&amp;'ADAC|0450-00'!FiscalYear-1&amp;" TOTAL"</f>
        <v>FY 2022 TOTAL</v>
      </c>
      <c r="K8" s="50" t="str">
        <f>"FY "&amp;'ADAC|0450-00'!FiscalYear&amp;" SALARY CHANGE"</f>
        <v>FY 2023 SALARY CHANGE</v>
      </c>
      <c r="L8" s="50" t="str">
        <f>"FY "&amp;'ADAC|0450-00'!FiscalYear&amp;" CHG HEALTH BENEFITS"</f>
        <v>FY 2023 CHG HEALTH BENEFITS</v>
      </c>
      <c r="M8" s="50" t="str">
        <f>"FY "&amp;'ADAC|0450-00'!FiscalYear&amp;"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[0]!ADAC045000col_INC_FTI</f>
        <v>34.200000000000003</v>
      </c>
      <c r="G10" s="218">
        <f>[0]!ADAC045000col_FTI_SALARY_PERM</f>
        <v>1688633.4399999997</v>
      </c>
      <c r="H10" s="218">
        <f>[0]!ADAC045000col_HEALTH_PERM</f>
        <v>398430</v>
      </c>
      <c r="I10" s="218">
        <f>[0]!ADAC045000col_TOT_VB_PERM</f>
        <v>379421.60174880002</v>
      </c>
      <c r="J10" s="219">
        <f>SUM(G10:I10)</f>
        <v>2466485.0417487998</v>
      </c>
      <c r="K10" s="219">
        <f>[0]!ADAC045000col_1_27TH_PP</f>
        <v>0</v>
      </c>
      <c r="L10" s="218">
        <f>[0]!ADAC045000col_HEALTH_PERM_CHG</f>
        <v>0</v>
      </c>
      <c r="M10" s="218">
        <f>[0]!ADAC045000col_TOT_VB_PERM_CHG</f>
        <v>-8274.3038559999986</v>
      </c>
      <c r="N10" s="218">
        <f>SUM(L10:M10)</f>
        <v>-8274.3038559999986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16900</v>
      </c>
      <c r="AB10" s="335">
        <f>ROUND(PermVarBen*CECPerm+(CECPerm*PermVarBenChg),-2)</f>
        <v>3700</v>
      </c>
      <c r="AC10" s="335">
        <f>SUM(AA10:AB10)</f>
        <v>20600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[0]!ADAC045000col_Group_Salary</f>
        <v>9212.15</v>
      </c>
      <c r="H11" s="218">
        <v>0</v>
      </c>
      <c r="I11" s="218">
        <f>[0]!ADAC045000col_Group_Ben</f>
        <v>2532.79</v>
      </c>
      <c r="J11" s="219">
        <f>SUM(G11:I11)</f>
        <v>11744.939999999999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[0]!ADAC045000col_TOTAL_ELECT_PCN_FTI</f>
        <v>0</v>
      </c>
      <c r="G12" s="218">
        <f>[0]!ADAC045000col_FTI_SALARY_ELECT</f>
        <v>0</v>
      </c>
      <c r="H12" s="218">
        <f>[0]!ADAC045000col_HEALTH_ELECT</f>
        <v>0</v>
      </c>
      <c r="I12" s="218">
        <f>[0]!ADAC045000col_TOT_VB_ELECT</f>
        <v>0</v>
      </c>
      <c r="J12" s="219">
        <f>SUM(G12:I12)</f>
        <v>0</v>
      </c>
      <c r="K12" s="268"/>
      <c r="L12" s="218">
        <f>[0]!ADAC045000col_HEALTH_ELECT_CHG</f>
        <v>0</v>
      </c>
      <c r="M12" s="218">
        <f>[0]!ADAC045000col_TOT_VB_ELECT_CHG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34.200000000000003</v>
      </c>
      <c r="G13" s="221">
        <f>SUM(G10:G12)</f>
        <v>1697845.5899999996</v>
      </c>
      <c r="H13" s="221">
        <f>SUM(H10:H12)</f>
        <v>398430</v>
      </c>
      <c r="I13" s="221">
        <f>SUM(I10:I12)</f>
        <v>381954.3917488</v>
      </c>
      <c r="J13" s="219">
        <f>SUM(G13:I13)</f>
        <v>2478229.9817487998</v>
      </c>
      <c r="K13" s="268"/>
      <c r="L13" s="219">
        <f>SUM(L10:L12)</f>
        <v>0</v>
      </c>
      <c r="M13" s="219">
        <f>SUM(M10:M12)</f>
        <v>-8274.3038559999986</v>
      </c>
      <c r="N13" s="219">
        <f>SUM(N10:N12)</f>
        <v>-8274.3038559999986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"&amp;'ADAC|0450-00'!FiscalYear-1</f>
        <v>FY 2022</v>
      </c>
      <c r="D15" s="158" t="s">
        <v>31</v>
      </c>
      <c r="E15" s="355">
        <v>2763000</v>
      </c>
      <c r="F15" s="55">
        <v>36.5</v>
      </c>
      <c r="G15" s="223">
        <f>IF(OrigApprop=0,0,(G13/$J$13)*OrigApprop)</f>
        <v>1892942.704962201</v>
      </c>
      <c r="H15" s="223">
        <f>IF(OrigApprop=0,0,(H13/$J$13)*OrigApprop)</f>
        <v>444213.04645146785</v>
      </c>
      <c r="I15" s="223">
        <f>IF(G15=0,0,(I13/$J$13)*OrigApprop)</f>
        <v>425844.24858633097</v>
      </c>
      <c r="J15" s="223">
        <f>SUM(G15:I15)</f>
        <v>2763000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2.2999999999999972</v>
      </c>
      <c r="G16" s="162">
        <f>G15-G13</f>
        <v>195097.11496220133</v>
      </c>
      <c r="H16" s="162">
        <f>H15-H13</f>
        <v>45783.046451467846</v>
      </c>
      <c r="I16" s="162">
        <f>I15-I13</f>
        <v>43889.85683753097</v>
      </c>
      <c r="J16" s="162">
        <f>J15-J13</f>
        <v>284770.01825120021</v>
      </c>
      <c r="K16" s="269"/>
      <c r="L16" s="56" t="str">
        <f>IF('ADAC|0450-00'!OrigApprop=0,"ERROR! Enter Original Appropriation amount in DU 3.00!","Calculated "&amp;IF('ADAC|0450-00'!AdjustedTotal&gt;0,"overfunding ","underfunding ")&amp;"is "&amp;TEXT('ADAC|0450-00'!AdjustedTotal/'ADAC|0450-00'!AppropTotal,"#.0%;(#.0% );0% ;")&amp;" of Original Appropriation")</f>
        <v>Calculated overfunding is 10.3%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34.200000000000003</v>
      </c>
      <c r="G38" s="191">
        <f>SUMIF($E10:$E35,$E38,$G10:$G35)</f>
        <v>1688633.4399999997</v>
      </c>
      <c r="H38" s="192">
        <f>SUMIF($E10:$E35,$E38,$H10:$H35)</f>
        <v>398430</v>
      </c>
      <c r="I38" s="192">
        <f>SUMIF($E10:$E35,$E38,$I10:$I35)</f>
        <v>379421.60174880002</v>
      </c>
      <c r="J38" s="192">
        <f>SUM(G38:I38)</f>
        <v>2466485.0417487998</v>
      </c>
      <c r="K38" s="166"/>
      <c r="L38" s="191">
        <f>SUMIF($E10:$E35,$E38,$L10:$L35)</f>
        <v>0</v>
      </c>
      <c r="M38" s="192">
        <f>SUMIF($E10:$E35,$E38,$M10:$M35)</f>
        <v>-8274.3038559999986</v>
      </c>
      <c r="N38" s="192">
        <f>SUM(L38:M38)</f>
        <v>-8274.3038559999986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16900</v>
      </c>
      <c r="AB38" s="338">
        <f>ROUND((AdjPermVB*CECPerm+AdjPermVBBY*CECPerm),-2)</f>
        <v>3700</v>
      </c>
      <c r="AC38" s="338">
        <f>SUM(AA38:AB38)</f>
        <v>20600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9212.15</v>
      </c>
      <c r="H39" s="152">
        <f>SUMIF($E10:$E35,$E39,$H10:$H35)</f>
        <v>0</v>
      </c>
      <c r="I39" s="152">
        <f>SUMIF($E10:$E35,$E39,$I10:$I35)</f>
        <v>2532.79</v>
      </c>
      <c r="J39" s="152">
        <f>SUM(G39:I39)</f>
        <v>11744.939999999999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34.200000000000003</v>
      </c>
      <c r="G41" s="195">
        <f>SUM($G$38:$G$40)</f>
        <v>1697845.5899999996</v>
      </c>
      <c r="H41" s="162">
        <f>SUM($H$38:$H$40)</f>
        <v>398430</v>
      </c>
      <c r="I41" s="162">
        <f>SUM($I$38:$I$40)</f>
        <v>381954.3917488</v>
      </c>
      <c r="J41" s="162">
        <f>SUM($J$38:$J$40)</f>
        <v>2478229.9817487998</v>
      </c>
      <c r="K41" s="259"/>
      <c r="L41" s="195">
        <f>SUM($L$38:$L$40)</f>
        <v>0</v>
      </c>
      <c r="M41" s="162">
        <f>SUM($M$38:$M$40)</f>
        <v>-8274.3038559999986</v>
      </c>
      <c r="N41" s="162">
        <f>SUM(L41:M41)</f>
        <v>-8274.3038559999986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2.2999999999999998</v>
      </c>
      <c r="G43" s="206">
        <f>ROUND(G51-G41,-2)</f>
        <v>195100</v>
      </c>
      <c r="H43" s="159">
        <f>ROUND(H51-H41,-2)</f>
        <v>45800</v>
      </c>
      <c r="I43" s="159">
        <f>ROUND(I51-I41,-2)</f>
        <v>43900</v>
      </c>
      <c r="J43" s="159">
        <f>SUM(G43:I43)</f>
        <v>284800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10.3%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2.2999999999999998</v>
      </c>
      <c r="G44" s="206">
        <f>ROUND(G60-G41,-2)</f>
        <v>195100</v>
      </c>
      <c r="H44" s="159">
        <f>ROUND(H60-H41,-2)</f>
        <v>45800</v>
      </c>
      <c r="I44" s="159">
        <f>ROUND(I60-I41,-2)</f>
        <v>43800</v>
      </c>
      <c r="J44" s="159">
        <f>SUM(G44:I44)</f>
        <v>284700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10.3%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2.2999999999999998</v>
      </c>
      <c r="G45" s="206">
        <f>ROUND(G67-G41-G63,-2)</f>
        <v>195100</v>
      </c>
      <c r="H45" s="206">
        <f>ROUND(H67-H41-H63,-2)</f>
        <v>45800</v>
      </c>
      <c r="I45" s="206">
        <f>ROUND(I67-I41-I63,-2)</f>
        <v>43800</v>
      </c>
      <c r="J45" s="159">
        <f>SUM(G45:I45)</f>
        <v>284700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2763000</v>
      </c>
      <c r="F51" s="272">
        <f>AppropFTP</f>
        <v>36.5</v>
      </c>
      <c r="G51" s="274">
        <f>IF(E51=0,0,(G41/$J$41)*$E$51)</f>
        <v>1892942.704962201</v>
      </c>
      <c r="H51" s="274">
        <f>IF(E51=0,0,(H41/$J$41)*$E$51)</f>
        <v>444213.04645146785</v>
      </c>
      <c r="I51" s="275">
        <f>IF(E51=0,0,(I41/$J$41)*$E$51)</f>
        <v>425844.24858633097</v>
      </c>
      <c r="J51" s="90">
        <f>SUM(G51:I51)</f>
        <v>2763000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36.5</v>
      </c>
      <c r="G52" s="79">
        <f>ROUND(G51,-2)</f>
        <v>1892900</v>
      </c>
      <c r="H52" s="79">
        <f>ROUND(H51,-2)</f>
        <v>444200</v>
      </c>
      <c r="I52" s="266">
        <f>ROUND(I51,-2)</f>
        <v>425800</v>
      </c>
      <c r="J52" s="80">
        <f>ROUND(J51,-2)</f>
        <v>2763000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36.5</v>
      </c>
      <c r="G56" s="80">
        <f>SUM(G52:G55)</f>
        <v>1892900</v>
      </c>
      <c r="H56" s="80">
        <f>SUM(H52:H55)</f>
        <v>444200</v>
      </c>
      <c r="I56" s="260">
        <f>SUM(I52:I55)</f>
        <v>425800</v>
      </c>
      <c r="J56" s="80">
        <f>SUM(J52:J55)</f>
        <v>2763000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36.5</v>
      </c>
      <c r="G60" s="80">
        <f>SUM(G56:G59)</f>
        <v>1892900</v>
      </c>
      <c r="H60" s="80">
        <f>SUM(H56:H59)</f>
        <v>444200</v>
      </c>
      <c r="I60" s="260">
        <f>SUM(I56:I59)</f>
        <v>425800</v>
      </c>
      <c r="J60" s="80">
        <f>SUM(J56:J59)</f>
        <v>2763000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36.5</v>
      </c>
      <c r="G67" s="80">
        <f>SUM(G60:G64)</f>
        <v>1892900</v>
      </c>
      <c r="H67" s="80">
        <f>SUM(H60:H64)</f>
        <v>444200</v>
      </c>
      <c r="I67" s="80">
        <f>SUM(I60:I64)</f>
        <v>425800</v>
      </c>
      <c r="J67" s="80">
        <f>SUM(J60:J64)</f>
        <v>2763000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-8300</v>
      </c>
      <c r="J69" s="287">
        <f>SUM(G69:I69)</f>
        <v>-8300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16900</v>
      </c>
      <c r="H72" s="287"/>
      <c r="I72" s="287">
        <f>ROUND(($G72*PermVBBY+$G72*Retire1BY),-2)</f>
        <v>3700</v>
      </c>
      <c r="J72" s="113">
        <f>SUM(G72:I72)</f>
        <v>20600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36.5</v>
      </c>
      <c r="G75" s="80">
        <f>SUM(G67:G74)</f>
        <v>1909900</v>
      </c>
      <c r="H75" s="80">
        <f>SUM(H67:H74)</f>
        <v>444200</v>
      </c>
      <c r="I75" s="80">
        <f>SUM(I67:I74)</f>
        <v>421200</v>
      </c>
      <c r="J75" s="80">
        <f>SUM(J67:K74)</f>
        <v>2775400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36.5</v>
      </c>
      <c r="G80" s="80">
        <f>SUM(G75:G79)</f>
        <v>1909900</v>
      </c>
      <c r="H80" s="80">
        <f>SUM(H75:H79)</f>
        <v>444200</v>
      </c>
      <c r="I80" s="80">
        <f>SUM(I75:I79)</f>
        <v>421200</v>
      </c>
      <c r="J80" s="80">
        <f>SUM(J75:J79)</f>
        <v>2775400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5" priority="5">
      <formula>$J$44&lt;0</formula>
    </cfRule>
  </conditionalFormatting>
  <conditionalFormatting sqref="K43">
    <cfRule type="expression" dxfId="74" priority="4">
      <formula>$J$43&lt;0</formula>
    </cfRule>
  </conditionalFormatting>
  <conditionalFormatting sqref="L16">
    <cfRule type="expression" dxfId="73" priority="3">
      <formula>$J$16&lt;0</formula>
    </cfRule>
  </conditionalFormatting>
  <conditionalFormatting sqref="K45">
    <cfRule type="expression" dxfId="72" priority="2">
      <formula>$J$44&lt;0</formula>
    </cfRule>
  </conditionalFormatting>
  <conditionalFormatting sqref="K43:N45">
    <cfRule type="containsText" dxfId="7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A9710-37F3-4E81-94E5-262A68DEF5F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9CD-F58B-4B9E-933E-2B35FFD169A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903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925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583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901</v>
      </c>
      <c r="J5" s="411"/>
      <c r="K5" s="411"/>
      <c r="L5" s="410"/>
      <c r="M5" s="352" t="s">
        <v>115</v>
      </c>
      <c r="N5" s="32" t="s">
        <v>902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"&amp;'ADAD|0450-00'!FiscalYear-1&amp;" SALARY"</f>
        <v>FY 2022 SALARY</v>
      </c>
      <c r="H8" s="50" t="str">
        <f>"FY "&amp;'ADAD|0450-00'!FiscalYear-1&amp;" HEALTH BENEFITS"</f>
        <v>FY 2022 HEALTH BENEFITS</v>
      </c>
      <c r="I8" s="50" t="str">
        <f>"FY "&amp;'ADAD|0450-00'!FiscalYear-1&amp;" VAR BENEFITS"</f>
        <v>FY 2022 VAR BENEFITS</v>
      </c>
      <c r="J8" s="50" t="str">
        <f>"FY "&amp;'ADAD|0450-00'!FiscalYear-1&amp;" TOTAL"</f>
        <v>FY 2022 TOTAL</v>
      </c>
      <c r="K8" s="50" t="str">
        <f>"FY "&amp;'ADAD|0450-00'!FiscalYear&amp;" SALARY CHANGE"</f>
        <v>FY 2023 SALARY CHANGE</v>
      </c>
      <c r="L8" s="50" t="str">
        <f>"FY "&amp;'ADAD|0450-00'!FiscalYear&amp;" CHG HEALTH BENEFITS"</f>
        <v>FY 2023 CHG HEALTH BENEFITS</v>
      </c>
      <c r="M8" s="50" t="str">
        <f>"FY "&amp;'ADAD|0450-00'!FiscalYear&amp;"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[0]!ADAD045000col_INC_FTI</f>
        <v>18.080000000000002</v>
      </c>
      <c r="G10" s="218">
        <f>[0]!ADAD045000col_FTI_SALARY_PERM</f>
        <v>987669.6399999999</v>
      </c>
      <c r="H10" s="218">
        <f>[0]!ADAD045000col_HEALTH_PERM</f>
        <v>210632</v>
      </c>
      <c r="I10" s="218">
        <f>[0]!ADAD045000col_TOT_VB_PERM</f>
        <v>221889.89203080005</v>
      </c>
      <c r="J10" s="219">
        <f>SUM(G10:I10)</f>
        <v>1420191.5320307999</v>
      </c>
      <c r="K10" s="219">
        <f>[0]!ADAD045000col_1_27TH_PP</f>
        <v>0</v>
      </c>
      <c r="L10" s="218">
        <f>[0]!ADAD045000col_HEALTH_PERM_CHG</f>
        <v>0</v>
      </c>
      <c r="M10" s="218">
        <f>[0]!ADAD045000col_TOT_VB_PERM_CHG</f>
        <v>-4839.581236</v>
      </c>
      <c r="N10" s="218">
        <f>SUM(L10:M10)</f>
        <v>-4839.581236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9900</v>
      </c>
      <c r="AB10" s="335">
        <f>ROUND(PermVarBen*CECPerm+(CECPerm*PermVarBenChg),-2)</f>
        <v>2200</v>
      </c>
      <c r="AC10" s="335">
        <f>SUM(AA10:AB10)</f>
        <v>12100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[0]!ADAD045000col_Group_Salary</f>
        <v>1140</v>
      </c>
      <c r="H11" s="218">
        <v>0</v>
      </c>
      <c r="I11" s="218">
        <f>[0]!ADAD045000col_Group_Ben</f>
        <v>97.37</v>
      </c>
      <c r="J11" s="219">
        <f>SUM(G11:I11)</f>
        <v>1237.3699999999999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[0]!ADAD045000col_TOTAL_ELECT_PCN_FTI</f>
        <v>0</v>
      </c>
      <c r="G12" s="218">
        <f>[0]!ADAD045000col_FTI_SALARY_ELECT</f>
        <v>0</v>
      </c>
      <c r="H12" s="218">
        <f>[0]!ADAD045000col_HEALTH_ELECT</f>
        <v>0</v>
      </c>
      <c r="I12" s="218">
        <f>[0]!ADAD045000col_TOT_VB_ELECT</f>
        <v>0</v>
      </c>
      <c r="J12" s="219">
        <f>SUM(G12:I12)</f>
        <v>0</v>
      </c>
      <c r="K12" s="268"/>
      <c r="L12" s="218">
        <f>[0]!ADAD045000col_HEALTH_ELECT_CHG</f>
        <v>0</v>
      </c>
      <c r="M12" s="218">
        <f>[0]!ADAD045000col_TOT_VB_ELECT_CHG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18.080000000000002</v>
      </c>
      <c r="G13" s="221">
        <f>SUM(G10:G12)</f>
        <v>988809.6399999999</v>
      </c>
      <c r="H13" s="221">
        <f>SUM(H10:H12)</f>
        <v>210632</v>
      </c>
      <c r="I13" s="221">
        <f>SUM(I10:I12)</f>
        <v>221987.26203080005</v>
      </c>
      <c r="J13" s="219">
        <f>SUM(G13:I13)</f>
        <v>1421428.9020308</v>
      </c>
      <c r="K13" s="268"/>
      <c r="L13" s="219">
        <f>SUM(L10:L12)</f>
        <v>0</v>
      </c>
      <c r="M13" s="219">
        <f>SUM(M10:M12)</f>
        <v>-4839.581236</v>
      </c>
      <c r="N13" s="219">
        <f>SUM(N10:N12)</f>
        <v>-4839.581236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"&amp;'ADAD|0450-00'!FiscalYear-1</f>
        <v>FY 2022</v>
      </c>
      <c r="D15" s="158" t="s">
        <v>31</v>
      </c>
      <c r="E15" s="355">
        <v>1333200</v>
      </c>
      <c r="F15" s="55">
        <v>16</v>
      </c>
      <c r="G15" s="223">
        <f>IF(OrigApprop=0,0,(G13/$J$13)*OrigApprop)</f>
        <v>927433.66211603524</v>
      </c>
      <c r="H15" s="223">
        <f>IF(OrigApprop=0,0,(H13/$J$13)*OrigApprop)</f>
        <v>197557.95171942774</v>
      </c>
      <c r="I15" s="223">
        <f>IF(G15=0,0,(I13/$J$13)*OrigApprop)</f>
        <v>208208.38616453699</v>
      </c>
      <c r="J15" s="223">
        <f>SUM(G15:I15)</f>
        <v>1333200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-2.0800000000000018</v>
      </c>
      <c r="G16" s="162">
        <f>G15-G13</f>
        <v>-61375.977883964661</v>
      </c>
      <c r="H16" s="162">
        <f>H15-H13</f>
        <v>-13074.048280572257</v>
      </c>
      <c r="I16" s="162">
        <f>I15-I13</f>
        <v>-13778.875866263057</v>
      </c>
      <c r="J16" s="162">
        <f>J15-J13</f>
        <v>-88228.902030800004</v>
      </c>
      <c r="K16" s="269"/>
      <c r="L16" s="56" t="str">
        <f>IF('ADAD|0450-00'!OrigApprop=0,"ERROR! Enter Original Appropriation amount in DU 3.00!","Calculated "&amp;IF('ADAD|0450-00'!AdjustedTotal&gt;0,"overfunding ","underfunding ")&amp;"is "&amp;TEXT('ADAD|0450-00'!AdjustedTotal/'ADAD|0450-00'!AppropTotal,"#.0%;(#.0% );0% ;")&amp;" of Original Appropriation")</f>
        <v>Calculated underfunding is (6.6%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18.080000000000002</v>
      </c>
      <c r="G38" s="191">
        <f>SUMIF($E10:$E35,$E38,$G10:$G35)</f>
        <v>987669.6399999999</v>
      </c>
      <c r="H38" s="192">
        <f>SUMIF($E10:$E35,$E38,$H10:$H35)</f>
        <v>210632</v>
      </c>
      <c r="I38" s="192">
        <f>SUMIF($E10:$E35,$E38,$I10:$I35)</f>
        <v>221889.89203080005</v>
      </c>
      <c r="J38" s="192">
        <f>SUM(G38:I38)</f>
        <v>1420191.5320307999</v>
      </c>
      <c r="K38" s="166"/>
      <c r="L38" s="191">
        <f>SUMIF($E10:$E35,$E38,$L10:$L35)</f>
        <v>0</v>
      </c>
      <c r="M38" s="192">
        <f>SUMIF($E10:$E35,$E38,$M10:$M35)</f>
        <v>-4839.581236</v>
      </c>
      <c r="N38" s="192">
        <f>SUM(L38:M38)</f>
        <v>-4839.581236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9900</v>
      </c>
      <c r="AB38" s="338">
        <f>ROUND((AdjPermVB*CECPerm+AdjPermVBBY*CECPerm),-2)</f>
        <v>2200</v>
      </c>
      <c r="AC38" s="338">
        <f>SUM(AA38:AB38)</f>
        <v>12100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1140</v>
      </c>
      <c r="H39" s="152">
        <f>SUMIF($E10:$E35,$E39,$H10:$H35)</f>
        <v>0</v>
      </c>
      <c r="I39" s="152">
        <f>SUMIF($E10:$E35,$E39,$I10:$I35)</f>
        <v>97.37</v>
      </c>
      <c r="J39" s="152">
        <f>SUM(G39:I39)</f>
        <v>1237.3699999999999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18.080000000000002</v>
      </c>
      <c r="G41" s="195">
        <f>SUM($G$38:$G$40)</f>
        <v>988809.6399999999</v>
      </c>
      <c r="H41" s="162">
        <f>SUM($H$38:$H$40)</f>
        <v>210632</v>
      </c>
      <c r="I41" s="162">
        <f>SUM($I$38:$I$40)</f>
        <v>221987.26203080005</v>
      </c>
      <c r="J41" s="162">
        <f>SUM($J$38:$J$40)</f>
        <v>1421428.9020308</v>
      </c>
      <c r="K41" s="259"/>
      <c r="L41" s="195">
        <f>SUM($L$38:$L$40)</f>
        <v>0</v>
      </c>
      <c r="M41" s="162">
        <f>SUM($M$38:$M$40)</f>
        <v>-4839.581236</v>
      </c>
      <c r="N41" s="162">
        <f>SUM(L41:M41)</f>
        <v>-4839.581236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-2.08</v>
      </c>
      <c r="G43" s="206">
        <f>ROUND(G51-G41,-2)</f>
        <v>-61400</v>
      </c>
      <c r="H43" s="159">
        <f>ROUND(H51-H41,-2)</f>
        <v>-13100</v>
      </c>
      <c r="I43" s="159">
        <f>ROUND(I51-I41,-2)</f>
        <v>-13800</v>
      </c>
      <c r="J43" s="159">
        <f>SUM(G43:I43)</f>
        <v>-88300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underfunding is (6.6%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-2.08</v>
      </c>
      <c r="G44" s="206">
        <f>ROUND(G60-G41,-2)</f>
        <v>-61400</v>
      </c>
      <c r="H44" s="159">
        <f>ROUND(H60-H41,-2)</f>
        <v>-13000</v>
      </c>
      <c r="I44" s="159">
        <f>ROUND(I60-I41,-2)</f>
        <v>-13800</v>
      </c>
      <c r="J44" s="159">
        <f>SUM(G44:I44)</f>
        <v>-88200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underfunding is (6.6% )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-2.08</v>
      </c>
      <c r="G45" s="206">
        <f>ROUND(G67-G41-G63,-2)</f>
        <v>-61400</v>
      </c>
      <c r="H45" s="206">
        <f>ROUND(H67-H41-H63,-2)</f>
        <v>-13000</v>
      </c>
      <c r="I45" s="206">
        <f>ROUND(I67-I41-I63,-2)</f>
        <v>-13800</v>
      </c>
      <c r="J45" s="159">
        <f>SUM(G45:I45)</f>
        <v>-88200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(6.6% )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1333200</v>
      </c>
      <c r="F51" s="272">
        <f>AppropFTP</f>
        <v>16</v>
      </c>
      <c r="G51" s="274">
        <f>IF(E51=0,0,(G41/$J$41)*$E$51)</f>
        <v>927433.66211603524</v>
      </c>
      <c r="H51" s="274">
        <f>IF(E51=0,0,(H41/$J$41)*$E$51)</f>
        <v>197557.95171942774</v>
      </c>
      <c r="I51" s="275">
        <f>IF(E51=0,0,(I41/$J$41)*$E$51)</f>
        <v>208208.38616453699</v>
      </c>
      <c r="J51" s="90">
        <f>SUM(G51:I51)</f>
        <v>1333200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16</v>
      </c>
      <c r="G52" s="79">
        <f>ROUND(G51,-2)</f>
        <v>927400</v>
      </c>
      <c r="H52" s="79">
        <f>ROUND(H51,-2)</f>
        <v>197600</v>
      </c>
      <c r="I52" s="266">
        <f>ROUND(I51,-2)</f>
        <v>208200</v>
      </c>
      <c r="J52" s="80">
        <f>ROUND(J51,-2)</f>
        <v>1333200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16</v>
      </c>
      <c r="G56" s="80">
        <f>SUM(G52:G55)</f>
        <v>927400</v>
      </c>
      <c r="H56" s="80">
        <f>SUM(H52:H55)</f>
        <v>197600</v>
      </c>
      <c r="I56" s="260">
        <f>SUM(I52:I55)</f>
        <v>208200</v>
      </c>
      <c r="J56" s="80">
        <f>SUM(J52:J55)</f>
        <v>1333200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16</v>
      </c>
      <c r="G60" s="80">
        <f>SUM(G56:G59)</f>
        <v>927400</v>
      </c>
      <c r="H60" s="80">
        <f>SUM(H56:H59)</f>
        <v>197600</v>
      </c>
      <c r="I60" s="260">
        <f>SUM(I56:I59)</f>
        <v>208200</v>
      </c>
      <c r="J60" s="80">
        <f>SUM(J56:J59)</f>
        <v>1333200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16</v>
      </c>
      <c r="G67" s="80">
        <f>SUM(G60:G64)</f>
        <v>927400</v>
      </c>
      <c r="H67" s="80">
        <f>SUM(H60:H64)</f>
        <v>197600</v>
      </c>
      <c r="I67" s="80">
        <f>SUM(I60:I64)</f>
        <v>208200</v>
      </c>
      <c r="J67" s="80">
        <f>SUM(J60:J64)</f>
        <v>1333200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-4800</v>
      </c>
      <c r="J69" s="287">
        <f>SUM(G69:I69)</f>
        <v>-4800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9900</v>
      </c>
      <c r="H72" s="287"/>
      <c r="I72" s="287">
        <f>ROUND(($G72*PermVBBY+$G72*Retire1BY),-2)</f>
        <v>2200</v>
      </c>
      <c r="J72" s="113">
        <f>SUM(G72:I72)</f>
        <v>12100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16</v>
      </c>
      <c r="G75" s="80">
        <f>SUM(G67:G74)</f>
        <v>937300</v>
      </c>
      <c r="H75" s="80">
        <f>SUM(H67:H74)</f>
        <v>197600</v>
      </c>
      <c r="I75" s="80">
        <f>SUM(I67:I74)</f>
        <v>205600</v>
      </c>
      <c r="J75" s="80">
        <f>SUM(J67:K74)</f>
        <v>1340500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16</v>
      </c>
      <c r="G80" s="80">
        <f>SUM(G75:G79)</f>
        <v>937300</v>
      </c>
      <c r="H80" s="80">
        <f>SUM(H75:H79)</f>
        <v>197600</v>
      </c>
      <c r="I80" s="80">
        <f>SUM(I75:I79)</f>
        <v>205600</v>
      </c>
      <c r="J80" s="80">
        <f>SUM(J75:J79)</f>
        <v>1340500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0" priority="5">
      <formula>$J$44&lt;0</formula>
    </cfRule>
  </conditionalFormatting>
  <conditionalFormatting sqref="K43">
    <cfRule type="expression" dxfId="69" priority="4">
      <formula>$J$43&lt;0</formula>
    </cfRule>
  </conditionalFormatting>
  <conditionalFormatting sqref="L16">
    <cfRule type="expression" dxfId="68" priority="3">
      <formula>$J$16&lt;0</formula>
    </cfRule>
  </conditionalFormatting>
  <conditionalFormatting sqref="K45">
    <cfRule type="expression" dxfId="67" priority="2">
      <formula>$J$44&lt;0</formula>
    </cfRule>
  </conditionalFormatting>
  <conditionalFormatting sqref="K43:N45">
    <cfRule type="containsText" dxfId="6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AC9B2-0666-4F3B-B2A6-91A9FFC9167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0493-1ABA-409E-9561-FDBCDF00ACD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931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925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583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929</v>
      </c>
      <c r="J5" s="411"/>
      <c r="K5" s="411"/>
      <c r="L5" s="410"/>
      <c r="M5" s="352" t="s">
        <v>115</v>
      </c>
      <c r="N5" s="32" t="s">
        <v>930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"&amp;'ADAD|0456-00'!FiscalYear-1&amp;" SALARY"</f>
        <v>FY 2022 SALARY</v>
      </c>
      <c r="H8" s="50" t="str">
        <f>"FY "&amp;'ADAD|0456-00'!FiscalYear-1&amp;" HEALTH BENEFITS"</f>
        <v>FY 2022 HEALTH BENEFITS</v>
      </c>
      <c r="I8" s="50" t="str">
        <f>"FY "&amp;'ADAD|0456-00'!FiscalYear-1&amp;" VAR BENEFITS"</f>
        <v>FY 2022 VAR BENEFITS</v>
      </c>
      <c r="J8" s="50" t="str">
        <f>"FY "&amp;'ADAD|0456-00'!FiscalYear-1&amp;" TOTAL"</f>
        <v>FY 2022 TOTAL</v>
      </c>
      <c r="K8" s="50" t="str">
        <f>"FY "&amp;'ADAD|0456-00'!FiscalYear&amp;" SALARY CHANGE"</f>
        <v>FY 2023 SALARY CHANGE</v>
      </c>
      <c r="L8" s="50" t="str">
        <f>"FY "&amp;'ADAD|0456-00'!FiscalYear&amp;" CHG HEALTH BENEFITS"</f>
        <v>FY 2023 CHG HEALTH BENEFITS</v>
      </c>
      <c r="M8" s="50" t="str">
        <f>"FY "&amp;'ADAD|0456-00'!FiscalYear&amp;"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[0]!ADAD045600col_INC_FTI</f>
        <v>2</v>
      </c>
      <c r="G10" s="218">
        <f>[0]!ADAD045600col_FTI_SALARY_PERM</f>
        <v>84552</v>
      </c>
      <c r="H10" s="218">
        <f>[0]!ADAD045600col_HEALTH_PERM</f>
        <v>23300</v>
      </c>
      <c r="I10" s="218">
        <f>[0]!ADAD045600col_TOT_VB_PERM</f>
        <v>19021.66344</v>
      </c>
      <c r="J10" s="219">
        <f>SUM(G10:I10)</f>
        <v>126873.66344</v>
      </c>
      <c r="K10" s="219">
        <f>[0]!ADAD045600col_1_27TH_PP</f>
        <v>0</v>
      </c>
      <c r="L10" s="218">
        <f>[0]!ADAD045600col_HEALTH_PERM_CHG</f>
        <v>0</v>
      </c>
      <c r="M10" s="218">
        <f>[0]!ADAD045600col_TOT_VB_PERM_CHG</f>
        <v>-414.3048</v>
      </c>
      <c r="N10" s="218">
        <f>SUM(L10:M10)</f>
        <v>-414.3048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800</v>
      </c>
      <c r="AB10" s="335">
        <f>ROUND(PermVarBen*CECPerm+(CECPerm*PermVarBenChg),-2)</f>
        <v>200</v>
      </c>
      <c r="AC10" s="335">
        <f>SUM(AA10:AB10)</f>
        <v>1000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[0]!ADAD045600col_Group_Salary</f>
        <v>6480</v>
      </c>
      <c r="H11" s="218">
        <v>0</v>
      </c>
      <c r="I11" s="218">
        <f>[0]!ADAD045600col_Group_Ben</f>
        <v>920.75</v>
      </c>
      <c r="J11" s="219">
        <f>SUM(G11:I11)</f>
        <v>7400.75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[0]!ADAD045600col_TOTAL_ELECT_PCN_FTI</f>
        <v>0</v>
      </c>
      <c r="G12" s="218">
        <f>[0]!ADAD045600col_FTI_SALARY_ELECT</f>
        <v>0</v>
      </c>
      <c r="H12" s="218">
        <f>[0]!ADAD045600col_HEALTH_ELECT</f>
        <v>0</v>
      </c>
      <c r="I12" s="218">
        <f>[0]!ADAD045600col_TOT_VB_ELECT</f>
        <v>0</v>
      </c>
      <c r="J12" s="219">
        <f>SUM(G12:I12)</f>
        <v>0</v>
      </c>
      <c r="K12" s="268"/>
      <c r="L12" s="218">
        <f>[0]!ADAD045600col_HEALTH_ELECT_CHG</f>
        <v>0</v>
      </c>
      <c r="M12" s="218">
        <f>[0]!ADAD045600col_TOT_VB_ELECT_CHG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</v>
      </c>
      <c r="G13" s="221">
        <f>SUM(G10:G12)</f>
        <v>91032</v>
      </c>
      <c r="H13" s="221">
        <f>SUM(H10:H12)</f>
        <v>23300</v>
      </c>
      <c r="I13" s="221">
        <f>SUM(I10:I12)</f>
        <v>19942.41344</v>
      </c>
      <c r="J13" s="219">
        <f>SUM(G13:I13)</f>
        <v>134274.41344</v>
      </c>
      <c r="K13" s="268"/>
      <c r="L13" s="219">
        <f>SUM(L10:L12)</f>
        <v>0</v>
      </c>
      <c r="M13" s="219">
        <f>SUM(M10:M12)</f>
        <v>-414.3048</v>
      </c>
      <c r="N13" s="219">
        <f>SUM(N10:N12)</f>
        <v>-414.3048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"&amp;'ADAD|0456-00'!FiscalYear-1</f>
        <v>FY 2022</v>
      </c>
      <c r="D15" s="158" t="s">
        <v>31</v>
      </c>
      <c r="E15" s="355">
        <v>194900</v>
      </c>
      <c r="F15" s="55">
        <v>3.08</v>
      </c>
      <c r="G15" s="223">
        <f>IF(OrigApprop=0,0,(G13/$J$13)*OrigApprop)</f>
        <v>132133.41503761624</v>
      </c>
      <c r="H15" s="223">
        <f>IF(OrigApprop=0,0,(H13/$J$13)*OrigApprop)</f>
        <v>33820.0695401228</v>
      </c>
      <c r="I15" s="223">
        <f>IF(G15=0,0,(I13/$J$13)*OrigApprop)</f>
        <v>28946.515422260924</v>
      </c>
      <c r="J15" s="223">
        <f>SUM(G15:I15)</f>
        <v>194899.99999999994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1.08</v>
      </c>
      <c r="G16" s="162">
        <f>G15-G13</f>
        <v>41101.415037616243</v>
      </c>
      <c r="H16" s="162">
        <f>H15-H13</f>
        <v>10520.0695401228</v>
      </c>
      <c r="I16" s="162">
        <f>I15-I13</f>
        <v>9004.1019822609233</v>
      </c>
      <c r="J16" s="162">
        <f>J15-J13</f>
        <v>60625.586559999938</v>
      </c>
      <c r="K16" s="269"/>
      <c r="L16" s="56" t="str">
        <f>IF('ADAD|0456-00'!OrigApprop=0,"ERROR! Enter Original Appropriation amount in DU 3.00!","Calculated "&amp;IF('ADAD|0456-00'!AdjustedTotal&gt;0,"overfunding ","underfunding ")&amp;"is "&amp;TEXT('ADAD|0456-00'!AdjustedTotal/'ADAD|0456-00'!AppropTotal,"#.0%;(#.0% );0% ;")&amp;" of Original Appropriation")</f>
        <v>Calculated overfunding is 31.1%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</v>
      </c>
      <c r="G38" s="191">
        <f>SUMIF($E10:$E35,$E38,$G10:$G35)</f>
        <v>84552</v>
      </c>
      <c r="H38" s="192">
        <f>SUMIF($E10:$E35,$E38,$H10:$H35)</f>
        <v>23300</v>
      </c>
      <c r="I38" s="192">
        <f>SUMIF($E10:$E35,$E38,$I10:$I35)</f>
        <v>19021.66344</v>
      </c>
      <c r="J38" s="192">
        <f>SUM(G38:I38)</f>
        <v>126873.66344</v>
      </c>
      <c r="K38" s="166"/>
      <c r="L38" s="191">
        <f>SUMIF($E10:$E35,$E38,$L10:$L35)</f>
        <v>0</v>
      </c>
      <c r="M38" s="192">
        <f>SUMIF($E10:$E35,$E38,$M10:$M35)</f>
        <v>-414.3048</v>
      </c>
      <c r="N38" s="192">
        <f>SUM(L38:M38)</f>
        <v>-414.3048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800</v>
      </c>
      <c r="AB38" s="338">
        <f>ROUND((AdjPermVB*CECPerm+AdjPermVBBY*CECPerm),-2)</f>
        <v>200</v>
      </c>
      <c r="AC38" s="338">
        <f>SUM(AA38:AB38)</f>
        <v>1000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6480</v>
      </c>
      <c r="H39" s="152">
        <f>SUMIF($E10:$E35,$E39,$H10:$H35)</f>
        <v>0</v>
      </c>
      <c r="I39" s="152">
        <f>SUMIF($E10:$E35,$E39,$I10:$I35)</f>
        <v>920.75</v>
      </c>
      <c r="J39" s="152">
        <f>SUM(G39:I39)</f>
        <v>7400.75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</v>
      </c>
      <c r="G41" s="195">
        <f>SUM($G$38:$G$40)</f>
        <v>91032</v>
      </c>
      <c r="H41" s="162">
        <f>SUM($H$38:$H$40)</f>
        <v>23300</v>
      </c>
      <c r="I41" s="162">
        <f>SUM($I$38:$I$40)</f>
        <v>19942.41344</v>
      </c>
      <c r="J41" s="162">
        <f>SUM($J$38:$J$40)</f>
        <v>134274.41344</v>
      </c>
      <c r="K41" s="259"/>
      <c r="L41" s="195">
        <f>SUM($L$38:$L$40)</f>
        <v>0</v>
      </c>
      <c r="M41" s="162">
        <f>SUM($M$38:$M$40)</f>
        <v>-414.3048</v>
      </c>
      <c r="N41" s="162">
        <f>SUM(L41:M41)</f>
        <v>-414.3048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1.08</v>
      </c>
      <c r="G43" s="206">
        <f>ROUND(G51-G41,-2)</f>
        <v>41100</v>
      </c>
      <c r="H43" s="159">
        <f>ROUND(H51-H41,-2)</f>
        <v>10500</v>
      </c>
      <c r="I43" s="159">
        <f>ROUND(I51-I41,-2)</f>
        <v>9000</v>
      </c>
      <c r="J43" s="159">
        <f>SUM(G43:I43)</f>
        <v>60600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31.1%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1.08</v>
      </c>
      <c r="G44" s="206">
        <f>ROUND(G60-G41,-2)</f>
        <v>41100</v>
      </c>
      <c r="H44" s="159">
        <f>ROUND(H60-H41,-2)</f>
        <v>10500</v>
      </c>
      <c r="I44" s="159">
        <f>ROUND(I60-I41,-2)</f>
        <v>9000</v>
      </c>
      <c r="J44" s="159">
        <f>SUM(G44:I44)</f>
        <v>60600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31.1%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1.08</v>
      </c>
      <c r="G45" s="206">
        <f>ROUND(G67-G41-G63,-2)</f>
        <v>41100</v>
      </c>
      <c r="H45" s="206">
        <f>ROUND(H67-H41-H63,-2)</f>
        <v>10500</v>
      </c>
      <c r="I45" s="206">
        <f>ROUND(I67-I41-I63,-2)</f>
        <v>9000</v>
      </c>
      <c r="J45" s="159">
        <f>SUM(G45:I45)</f>
        <v>60600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31.1%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194900</v>
      </c>
      <c r="F51" s="272">
        <f>AppropFTP</f>
        <v>3.08</v>
      </c>
      <c r="G51" s="274">
        <f>IF(E51=0,0,(G41/$J$41)*$E$51)</f>
        <v>132133.41503761624</v>
      </c>
      <c r="H51" s="274">
        <f>IF(E51=0,0,(H41/$J$41)*$E$51)</f>
        <v>33820.0695401228</v>
      </c>
      <c r="I51" s="275">
        <f>IF(E51=0,0,(I41/$J$41)*$E$51)</f>
        <v>28946.515422260924</v>
      </c>
      <c r="J51" s="90">
        <f>SUM(G51:I51)</f>
        <v>194899.99999999994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3.08</v>
      </c>
      <c r="G52" s="79">
        <f>ROUND(G51,-2)</f>
        <v>132100</v>
      </c>
      <c r="H52" s="79">
        <f>ROUND(H51,-2)</f>
        <v>33800</v>
      </c>
      <c r="I52" s="266">
        <f>ROUND(I51,-2)</f>
        <v>28900</v>
      </c>
      <c r="J52" s="80">
        <f>ROUND(J51,-2)</f>
        <v>194900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3.08</v>
      </c>
      <c r="G56" s="80">
        <f>SUM(G52:G55)</f>
        <v>132100</v>
      </c>
      <c r="H56" s="80">
        <f>SUM(H52:H55)</f>
        <v>33800</v>
      </c>
      <c r="I56" s="260">
        <f>SUM(I52:I55)</f>
        <v>28900</v>
      </c>
      <c r="J56" s="80">
        <f>SUM(J52:J55)</f>
        <v>194900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3.08</v>
      </c>
      <c r="G60" s="80">
        <f>SUM(G56:G59)</f>
        <v>132100</v>
      </c>
      <c r="H60" s="80">
        <f>SUM(H56:H59)</f>
        <v>33800</v>
      </c>
      <c r="I60" s="260">
        <f>SUM(I56:I59)</f>
        <v>28900</v>
      </c>
      <c r="J60" s="80">
        <f>SUM(J56:J59)</f>
        <v>194900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3.08</v>
      </c>
      <c r="G67" s="80">
        <f>SUM(G60:G64)</f>
        <v>132100</v>
      </c>
      <c r="H67" s="80">
        <f>SUM(H60:H64)</f>
        <v>33800</v>
      </c>
      <c r="I67" s="80">
        <f>SUM(I60:I64)</f>
        <v>28900</v>
      </c>
      <c r="J67" s="80">
        <f>SUM(J60:J64)</f>
        <v>194900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800</v>
      </c>
      <c r="H72" s="287"/>
      <c r="I72" s="287">
        <f>ROUND(($G72*PermVBBY+$G72*Retire1BY),-2)</f>
        <v>200</v>
      </c>
      <c r="J72" s="113">
        <f>SUM(G72:I72)</f>
        <v>1000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3.08</v>
      </c>
      <c r="G75" s="80">
        <f>SUM(G67:G74)</f>
        <v>133000</v>
      </c>
      <c r="H75" s="80">
        <f>SUM(H67:H74)</f>
        <v>33800</v>
      </c>
      <c r="I75" s="80">
        <f>SUM(I67:I74)</f>
        <v>28700</v>
      </c>
      <c r="J75" s="80">
        <f>SUM(J67:K74)</f>
        <v>195600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3.08</v>
      </c>
      <c r="G80" s="80">
        <f>SUM(G75:G79)</f>
        <v>133000</v>
      </c>
      <c r="H80" s="80">
        <f>SUM(H75:H79)</f>
        <v>33800</v>
      </c>
      <c r="I80" s="80">
        <f>SUM(I75:I79)</f>
        <v>28700</v>
      </c>
      <c r="J80" s="80">
        <f>SUM(J75:J79)</f>
        <v>195600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5" priority="5">
      <formula>$J$44&lt;0</formula>
    </cfRule>
  </conditionalFormatting>
  <conditionalFormatting sqref="K43">
    <cfRule type="expression" dxfId="64" priority="4">
      <formula>$J$43&lt;0</formula>
    </cfRule>
  </conditionalFormatting>
  <conditionalFormatting sqref="L16">
    <cfRule type="expression" dxfId="63" priority="3">
      <formula>$J$16&lt;0</formula>
    </cfRule>
  </conditionalFormatting>
  <conditionalFormatting sqref="K45">
    <cfRule type="expression" dxfId="62" priority="2">
      <formula>$J$44&lt;0</formula>
    </cfRule>
  </conditionalFormatting>
  <conditionalFormatting sqref="K43:N45">
    <cfRule type="containsText" dxfId="6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387CF1-A3E7-4632-A764-D86C9A46C13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CCA8-0DDF-4F43-8EC6-12F59B53CB3B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886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200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886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942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757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940</v>
      </c>
      <c r="J5" s="411"/>
      <c r="K5" s="411"/>
      <c r="L5" s="410"/>
      <c r="M5" s="352" t="s">
        <v>115</v>
      </c>
      <c r="N5" s="32" t="s">
        <v>941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"&amp;'ADAK|0461-00'!FiscalYear-1&amp;" SALARY"</f>
        <v>FY 2022 SALARY</v>
      </c>
      <c r="H8" s="50" t="str">
        <f>"FY "&amp;'ADAK|0461-00'!FiscalYear-1&amp;" HEALTH BENEFITS"</f>
        <v>FY 2022 HEALTH BENEFITS</v>
      </c>
      <c r="I8" s="50" t="str">
        <f>"FY "&amp;'ADAK|0461-00'!FiscalYear-1&amp;" VAR BENEFITS"</f>
        <v>FY 2022 VAR BENEFITS</v>
      </c>
      <c r="J8" s="50" t="str">
        <f>"FY "&amp;'ADAK|0461-00'!FiscalYear-1&amp;" TOTAL"</f>
        <v>FY 2022 TOTAL</v>
      </c>
      <c r="K8" s="50" t="str">
        <f>"FY "&amp;'ADAK|0461-00'!FiscalYear&amp;" SALARY CHANGE"</f>
        <v>FY 2023 SALARY CHANGE</v>
      </c>
      <c r="L8" s="50" t="str">
        <f>"FY "&amp;'ADAK|0461-00'!FiscalYear&amp;" CHG HEALTH BENEFITS"</f>
        <v>FY 2023 CHG HEALTH BENEFITS</v>
      </c>
      <c r="M8" s="50" t="str">
        <f>"FY "&amp;'ADAK|0461-00'!FiscalYear&amp;"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[0]!ADAK046100col_INC_FTI</f>
        <v>5.0600000000000005</v>
      </c>
      <c r="G10" s="218">
        <f>[0]!ADAK046100col_FTI_SALARY_PERM</f>
        <v>292792.02999999997</v>
      </c>
      <c r="H10" s="218">
        <f>[0]!ADAK046100col_HEALTH_PERM</f>
        <v>58949</v>
      </c>
      <c r="I10" s="218">
        <f>[0]!ADAK046100col_TOT_VB_PERM</f>
        <v>65806.252190300002</v>
      </c>
      <c r="J10" s="219">
        <f>SUM(G10:I10)</f>
        <v>417547.28219029994</v>
      </c>
      <c r="K10" s="219">
        <f>[0]!ADAK046100col_1_27TH_PP</f>
        <v>0</v>
      </c>
      <c r="L10" s="218">
        <f>[0]!ADAK046100col_HEALTH_PERM_CHG</f>
        <v>0</v>
      </c>
      <c r="M10" s="218">
        <f>[0]!ADAK046100col_TOT_VB_PERM_CHG</f>
        <v>-1395.7944</v>
      </c>
      <c r="N10" s="218">
        <f>SUM(L10:M10)</f>
        <v>-1395.7944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2900</v>
      </c>
      <c r="AB10" s="335">
        <f>ROUND(PermVarBen*CECPerm+(CECPerm*PermVarBenChg),-2)</f>
        <v>600</v>
      </c>
      <c r="AC10" s="335">
        <f>SUM(AA10:AB10)</f>
        <v>3500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[0]!ADAK046100col_Group_Salary</f>
        <v>0</v>
      </c>
      <c r="H11" s="218">
        <v>0</v>
      </c>
      <c r="I11" s="218">
        <f>[0]!ADAK046100col_Group_Ben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[0]!ADAK046100col_TOTAL_ELECT_PCN_FTI</f>
        <v>0</v>
      </c>
      <c r="G12" s="218">
        <f>[0]!ADAK046100col_FTI_SALARY_ELECT</f>
        <v>0</v>
      </c>
      <c r="H12" s="218">
        <f>[0]!ADAK046100col_HEALTH_ELECT</f>
        <v>0</v>
      </c>
      <c r="I12" s="218">
        <f>[0]!ADAK046100col_TOT_VB_ELECT</f>
        <v>0</v>
      </c>
      <c r="J12" s="219">
        <f>SUM(G12:I12)</f>
        <v>0</v>
      </c>
      <c r="K12" s="268"/>
      <c r="L12" s="218">
        <f>[0]!ADAK046100col_HEALTH_ELECT_CHG</f>
        <v>0</v>
      </c>
      <c r="M12" s="218">
        <f>[0]!ADAK046100col_TOT_VB_ELECT_CHG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5.0600000000000005</v>
      </c>
      <c r="G13" s="221">
        <f>SUM(G10:G12)</f>
        <v>292792.02999999997</v>
      </c>
      <c r="H13" s="221">
        <f>SUM(H10:H12)</f>
        <v>58949</v>
      </c>
      <c r="I13" s="221">
        <f>SUM(I10:I12)</f>
        <v>65806.252190300002</v>
      </c>
      <c r="J13" s="219">
        <f>SUM(G13:I13)</f>
        <v>417547.28219029994</v>
      </c>
      <c r="K13" s="268"/>
      <c r="L13" s="219">
        <f>SUM(L10:L12)</f>
        <v>0</v>
      </c>
      <c r="M13" s="219">
        <f>SUM(M10:M12)</f>
        <v>-1395.7944</v>
      </c>
      <c r="N13" s="219">
        <f>SUM(N10:N12)</f>
        <v>-1395.7944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"&amp;'ADAK|0461-00'!FiscalYear-1</f>
        <v>FY 2022</v>
      </c>
      <c r="D15" s="158" t="s">
        <v>31</v>
      </c>
      <c r="E15" s="355">
        <v>452400</v>
      </c>
      <c r="F15" s="55">
        <v>5.05</v>
      </c>
      <c r="G15" s="223">
        <f>IF(OrigApprop=0,0,(G13/$J$13)*OrigApprop)</f>
        <v>317231.41311606206</v>
      </c>
      <c r="H15" s="223">
        <f>IF(OrigApprop=0,0,(H13/$J$13)*OrigApprop)</f>
        <v>63869.479547577663</v>
      </c>
      <c r="I15" s="223">
        <f>IF(G15=0,0,(I13/$J$13)*OrigApprop)</f>
        <v>71299.107336360306</v>
      </c>
      <c r="J15" s="223">
        <f>SUM(G15:I15)</f>
        <v>452400.00000000006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-1.0000000000000675E-2</v>
      </c>
      <c r="G16" s="162">
        <f>G15-G13</f>
        <v>24439.38311606209</v>
      </c>
      <c r="H16" s="162">
        <f>H15-H13</f>
        <v>4920.4795475776627</v>
      </c>
      <c r="I16" s="162">
        <f>I15-I13</f>
        <v>5492.8551460603048</v>
      </c>
      <c r="J16" s="162">
        <f>J15-J13</f>
        <v>34852.717809700116</v>
      </c>
      <c r="K16" s="269"/>
      <c r="L16" s="56" t="str">
        <f>IF('ADAK|0461-00'!OrigApprop=0,"ERROR! Enter Original Appropriation amount in DU 3.00!","Calculated "&amp;IF('ADAK|0461-00'!AdjustedTotal&gt;0,"overfunding ","underfunding ")&amp;"is "&amp;TEXT('ADAK|0461-00'!AdjustedTotal/'ADAK|0461-00'!AppropTotal,"#.0%;(#.0% );0% ;")&amp;" of Original Appropriation")</f>
        <v>Calculated overfunding is 7.7%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5.0600000000000005</v>
      </c>
      <c r="G38" s="191">
        <f>SUMIF($E10:$E35,$E38,$G10:$G35)</f>
        <v>292792.02999999997</v>
      </c>
      <c r="H38" s="192">
        <f>SUMIF($E10:$E35,$E38,$H10:$H35)</f>
        <v>58949</v>
      </c>
      <c r="I38" s="192">
        <f>SUMIF($E10:$E35,$E38,$I10:$I35)</f>
        <v>65806.252190300002</v>
      </c>
      <c r="J38" s="192">
        <f>SUM(G38:I38)</f>
        <v>417547.28219029994</v>
      </c>
      <c r="K38" s="166"/>
      <c r="L38" s="191">
        <f>SUMIF($E10:$E35,$E38,$L10:$L35)</f>
        <v>0</v>
      </c>
      <c r="M38" s="192">
        <f>SUMIF($E10:$E35,$E38,$M10:$M35)</f>
        <v>-1395.7944</v>
      </c>
      <c r="N38" s="192">
        <f>SUM(L38:M38)</f>
        <v>-1395.7944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2900</v>
      </c>
      <c r="AB38" s="338">
        <f>ROUND((AdjPermVB*CECPerm+AdjPermVBBY*CECPerm),-2)</f>
        <v>600</v>
      </c>
      <c r="AC38" s="338">
        <f>SUM(AA38:AB38)</f>
        <v>3500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5.0600000000000005</v>
      </c>
      <c r="G41" s="195">
        <f>SUM($G$38:$G$40)</f>
        <v>292792.02999999997</v>
      </c>
      <c r="H41" s="162">
        <f>SUM($H$38:$H$40)</f>
        <v>58949</v>
      </c>
      <c r="I41" s="162">
        <f>SUM($I$38:$I$40)</f>
        <v>65806.252190300002</v>
      </c>
      <c r="J41" s="162">
        <f>SUM($J$38:$J$40)</f>
        <v>417547.28219029994</v>
      </c>
      <c r="K41" s="259"/>
      <c r="L41" s="195">
        <f>SUM($L$38:$L$40)</f>
        <v>0</v>
      </c>
      <c r="M41" s="162">
        <f>SUM($M$38:$M$40)</f>
        <v>-1395.7944</v>
      </c>
      <c r="N41" s="162">
        <f>SUM(L41:M41)</f>
        <v>-1395.7944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-0.01</v>
      </c>
      <c r="G43" s="206">
        <f>ROUND(G51-G41,-2)</f>
        <v>24400</v>
      </c>
      <c r="H43" s="159">
        <f>ROUND(H51-H41,-2)</f>
        <v>4900</v>
      </c>
      <c r="I43" s="159">
        <f>ROUND(I51-I41,-2)</f>
        <v>5500</v>
      </c>
      <c r="J43" s="159">
        <f>SUM(G43:I43)</f>
        <v>34800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7.7%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-0.01</v>
      </c>
      <c r="G44" s="206">
        <f>ROUND(G60-G41,-2)</f>
        <v>24400</v>
      </c>
      <c r="H44" s="159">
        <f>ROUND(H60-H41,-2)</f>
        <v>5000</v>
      </c>
      <c r="I44" s="159">
        <f>ROUND(I60-I41,-2)</f>
        <v>5500</v>
      </c>
      <c r="J44" s="159">
        <f>SUM(G44:I44)</f>
        <v>34900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7.7%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-0.01</v>
      </c>
      <c r="G45" s="206">
        <f>ROUND(G67-G41-G63,-2)</f>
        <v>24400</v>
      </c>
      <c r="H45" s="206">
        <f>ROUND(H67-H41-H63,-2)</f>
        <v>5000</v>
      </c>
      <c r="I45" s="206">
        <f>ROUND(I67-I41-I63,-2)</f>
        <v>5500</v>
      </c>
      <c r="J45" s="159">
        <f>SUM(G45:I45)</f>
        <v>34900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7.7%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452400</v>
      </c>
      <c r="F51" s="272">
        <f>AppropFTP</f>
        <v>5.05</v>
      </c>
      <c r="G51" s="274">
        <f>IF(E51=0,0,(G41/$J$41)*$E$51)</f>
        <v>317231.41311606206</v>
      </c>
      <c r="H51" s="274">
        <f>IF(E51=0,0,(H41/$J$41)*$E$51)</f>
        <v>63869.479547577663</v>
      </c>
      <c r="I51" s="275">
        <f>IF(E51=0,0,(I41/$J$41)*$E$51)</f>
        <v>71299.107336360306</v>
      </c>
      <c r="J51" s="90">
        <f>SUM(G51:I51)</f>
        <v>452400.00000000006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5.05</v>
      </c>
      <c r="G52" s="79">
        <f>ROUND(G51,-2)</f>
        <v>317200</v>
      </c>
      <c r="H52" s="79">
        <f>ROUND(H51,-2)</f>
        <v>63900</v>
      </c>
      <c r="I52" s="266">
        <f>ROUND(I51,-2)</f>
        <v>71300</v>
      </c>
      <c r="J52" s="80">
        <f>ROUND(J51,-2)</f>
        <v>452400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5.05</v>
      </c>
      <c r="G56" s="80">
        <f>SUM(G52:G55)</f>
        <v>317200</v>
      </c>
      <c r="H56" s="80">
        <f>SUM(H52:H55)</f>
        <v>63900</v>
      </c>
      <c r="I56" s="260">
        <f>SUM(I52:I55)</f>
        <v>71300</v>
      </c>
      <c r="J56" s="80">
        <f>SUM(J52:J55)</f>
        <v>452400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5.05</v>
      </c>
      <c r="G60" s="80">
        <f>SUM(G56:G59)</f>
        <v>317200</v>
      </c>
      <c r="H60" s="80">
        <f>SUM(H56:H59)</f>
        <v>63900</v>
      </c>
      <c r="I60" s="260">
        <f>SUM(I56:I59)</f>
        <v>71300</v>
      </c>
      <c r="J60" s="80">
        <f>SUM(J56:J59)</f>
        <v>452400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5.05</v>
      </c>
      <c r="G67" s="80">
        <f>SUM(G60:G64)</f>
        <v>317200</v>
      </c>
      <c r="H67" s="80">
        <f>SUM(H60:H64)</f>
        <v>63900</v>
      </c>
      <c r="I67" s="80">
        <f>SUM(I60:I64)</f>
        <v>71300</v>
      </c>
      <c r="J67" s="80">
        <f>SUM(J60:J64)</f>
        <v>452400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2900</v>
      </c>
      <c r="H72" s="287"/>
      <c r="I72" s="287">
        <f>ROUND(($G72*PermVBBY+$G72*Retire1BY),-2)</f>
        <v>600</v>
      </c>
      <c r="J72" s="113">
        <f>SUM(G72:I72)</f>
        <v>3500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5.05</v>
      </c>
      <c r="G75" s="80">
        <f>SUM(G67:G74)</f>
        <v>320100</v>
      </c>
      <c r="H75" s="80">
        <f>SUM(H67:H74)</f>
        <v>63900</v>
      </c>
      <c r="I75" s="80">
        <f>SUM(I67:I74)</f>
        <v>70500</v>
      </c>
      <c r="J75" s="80">
        <f>SUM(J67:K74)</f>
        <v>454500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5.05</v>
      </c>
      <c r="G80" s="80">
        <f>SUM(G75:G79)</f>
        <v>320100</v>
      </c>
      <c r="H80" s="80">
        <f>SUM(H75:H79)</f>
        <v>63900</v>
      </c>
      <c r="I80" s="80">
        <f>SUM(I75:I79)</f>
        <v>70500</v>
      </c>
      <c r="J80" s="80">
        <f>SUM(J75:J79)</f>
        <v>454500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0" priority="5">
      <formula>$J$44&lt;0</formula>
    </cfRule>
  </conditionalFormatting>
  <conditionalFormatting sqref="K43">
    <cfRule type="expression" dxfId="59" priority="4">
      <formula>$J$43&lt;0</formula>
    </cfRule>
  </conditionalFormatting>
  <conditionalFormatting sqref="L16">
    <cfRule type="expression" dxfId="58" priority="3">
      <formula>$J$16&lt;0</formula>
    </cfRule>
  </conditionalFormatting>
  <conditionalFormatting sqref="K45">
    <cfRule type="expression" dxfId="57" priority="2">
      <formula>$J$44&lt;0</formula>
    </cfRule>
  </conditionalFormatting>
  <conditionalFormatting sqref="K43:N45">
    <cfRule type="containsText" dxfId="5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DB4D99-BA51-4CFB-A87E-2360ED43FCD0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2551</vt:i4>
      </vt:variant>
    </vt:vector>
  </HeadingPairs>
  <TitlesOfParts>
    <vt:vector size="2572" baseType="lpstr">
      <vt:lpstr>ADAA|0001-00</vt:lpstr>
      <vt:lpstr>ADAA|0365-00</vt:lpstr>
      <vt:lpstr>ADAA|0450-00</vt:lpstr>
      <vt:lpstr>ADAA|0519-00</vt:lpstr>
      <vt:lpstr>ADAC|0365-00</vt:lpstr>
      <vt:lpstr>ADAC|0450-00</vt:lpstr>
      <vt:lpstr>ADAD|0450-00</vt:lpstr>
      <vt:lpstr>ADAD|0456-00</vt:lpstr>
      <vt:lpstr>ADAK|0461-00</vt:lpstr>
      <vt:lpstr>ADAK|0462-00</vt:lpstr>
      <vt:lpstr>ADAK|0519-00</vt:lpstr>
      <vt:lpstr>ADAM|0001-00</vt:lpstr>
      <vt:lpstr>ADAM|0450-00</vt:lpstr>
      <vt:lpstr>ADAN|0456-00</vt:lpstr>
      <vt:lpstr>ADAN|0461-00</vt:lpstr>
      <vt:lpstr>ADAN|0462-00</vt:lpstr>
      <vt:lpstr>Data</vt:lpstr>
      <vt:lpstr>Benefits</vt:lpstr>
      <vt:lpstr>B6</vt:lpstr>
      <vt:lpstr>Summary</vt:lpstr>
      <vt:lpstr>FundSummary</vt:lpstr>
      <vt:lpstr>ADAA000100col_1_27TH_PP</vt:lpstr>
      <vt:lpstr>ADAA000100col_DHR</vt:lpstr>
      <vt:lpstr>ADAA000100col_DHR_BY</vt:lpstr>
      <vt:lpstr>ADAA000100col_DHR_CHG</vt:lpstr>
      <vt:lpstr>ADAA000100col_FTI_SALARY_ELECT</vt:lpstr>
      <vt:lpstr>ADAA000100col_FTI_SALARY_PERM</vt:lpstr>
      <vt:lpstr>ADAA000100col_FTI_SALARY_SSDI</vt:lpstr>
      <vt:lpstr>ADAA000100col_Group_Ben</vt:lpstr>
      <vt:lpstr>ADAA000100col_Group_Salary</vt:lpstr>
      <vt:lpstr>ADAA000100col_HEALTH_ELECT</vt:lpstr>
      <vt:lpstr>ADAA000100col_HEALTH_ELECT_BY</vt:lpstr>
      <vt:lpstr>ADAA000100col_HEALTH_ELECT_CHG</vt:lpstr>
      <vt:lpstr>ADAA000100col_HEALTH_PERM</vt:lpstr>
      <vt:lpstr>ADAA000100col_HEALTH_PERM_BY</vt:lpstr>
      <vt:lpstr>ADAA000100col_HEALTH_PERM_CHG</vt:lpstr>
      <vt:lpstr>ADAA000100col_INC_FTI</vt:lpstr>
      <vt:lpstr>ADAA000100col_LIFE_INS</vt:lpstr>
      <vt:lpstr>ADAA000100col_LIFE_INS_BY</vt:lpstr>
      <vt:lpstr>ADAA000100col_LIFE_INS_CHG</vt:lpstr>
      <vt:lpstr>ADAA000100col_RETIREMENT</vt:lpstr>
      <vt:lpstr>ADAA000100col_RETIREMENT_BY</vt:lpstr>
      <vt:lpstr>ADAA000100col_RETIREMENT_CHG</vt:lpstr>
      <vt:lpstr>ADAA000100col_ROWS_PER_PCN</vt:lpstr>
      <vt:lpstr>ADAA000100col_SICK</vt:lpstr>
      <vt:lpstr>ADAA000100col_SICK_BY</vt:lpstr>
      <vt:lpstr>ADAA000100col_SICK_CHG</vt:lpstr>
      <vt:lpstr>ADAA000100col_SSDI</vt:lpstr>
      <vt:lpstr>ADAA000100col_SSDI_BY</vt:lpstr>
      <vt:lpstr>ADAA000100col_SSDI_CHG</vt:lpstr>
      <vt:lpstr>ADAA000100col_SSHI</vt:lpstr>
      <vt:lpstr>ADAA000100col_SSHI_BY</vt:lpstr>
      <vt:lpstr>ADAA000100col_SSHI_CHGv</vt:lpstr>
      <vt:lpstr>ADAA000100col_TOT_VB_ELECT</vt:lpstr>
      <vt:lpstr>ADAA000100col_TOT_VB_ELECT_BY</vt:lpstr>
      <vt:lpstr>ADAA000100col_TOT_VB_ELECT_CHG</vt:lpstr>
      <vt:lpstr>ADAA000100col_TOT_VB_PERM</vt:lpstr>
      <vt:lpstr>ADAA000100col_TOT_VB_PERM_BY</vt:lpstr>
      <vt:lpstr>ADAA000100col_TOT_VB_PERM_CHG</vt:lpstr>
      <vt:lpstr>ADAA000100col_TOTAL_ELECT_PCN_FTI</vt:lpstr>
      <vt:lpstr>ADAA000100col_TOTAL_ELECT_PCN_FTI_ALT</vt:lpstr>
      <vt:lpstr>ADAA000100col_TOTAL_PERM_PCN_FTI</vt:lpstr>
      <vt:lpstr>ADAA000100col_UNEMP_INS</vt:lpstr>
      <vt:lpstr>ADAA000100col_UNEMP_INS_BY</vt:lpstr>
      <vt:lpstr>ADAA000100col_UNEMP_INS_CHG</vt:lpstr>
      <vt:lpstr>ADAA000100col_WORKERS_COMP</vt:lpstr>
      <vt:lpstr>ADAA000100col_WORKERS_COMP_BY</vt:lpstr>
      <vt:lpstr>ADAA000100col_WORKERS_COMP_CHG</vt:lpstr>
      <vt:lpstr>ADAA036500col_1_27TH_PP</vt:lpstr>
      <vt:lpstr>ADAA036500col_DHR</vt:lpstr>
      <vt:lpstr>ADAA036500col_DHR_BY</vt:lpstr>
      <vt:lpstr>ADAA036500col_DHR_CHG</vt:lpstr>
      <vt:lpstr>ADAA036500col_FTI_SALARY_ELECT</vt:lpstr>
      <vt:lpstr>ADAA036500col_FTI_SALARY_PERM</vt:lpstr>
      <vt:lpstr>ADAA036500col_FTI_SALARY_SSDI</vt:lpstr>
      <vt:lpstr>ADAA036500col_Group_Ben</vt:lpstr>
      <vt:lpstr>ADAA036500col_Group_Salary</vt:lpstr>
      <vt:lpstr>ADAA036500col_HEALTH_ELECT</vt:lpstr>
      <vt:lpstr>ADAA036500col_HEALTH_ELECT_BY</vt:lpstr>
      <vt:lpstr>ADAA036500col_HEALTH_ELECT_CHG</vt:lpstr>
      <vt:lpstr>ADAA036500col_HEALTH_PERM</vt:lpstr>
      <vt:lpstr>ADAA036500col_HEALTH_PERM_BY</vt:lpstr>
      <vt:lpstr>ADAA036500col_HEALTH_PERM_CHG</vt:lpstr>
      <vt:lpstr>ADAA036500col_INC_FTI</vt:lpstr>
      <vt:lpstr>ADAA036500col_LIFE_INS</vt:lpstr>
      <vt:lpstr>ADAA036500col_LIFE_INS_BY</vt:lpstr>
      <vt:lpstr>ADAA036500col_LIFE_INS_CHG</vt:lpstr>
      <vt:lpstr>ADAA036500col_RETIREMENT</vt:lpstr>
      <vt:lpstr>ADAA036500col_RETIREMENT_BY</vt:lpstr>
      <vt:lpstr>ADAA036500col_RETIREMENT_CHG</vt:lpstr>
      <vt:lpstr>ADAA036500col_ROWS_PER_PCN</vt:lpstr>
      <vt:lpstr>ADAA036500col_SICK</vt:lpstr>
      <vt:lpstr>ADAA036500col_SICK_BY</vt:lpstr>
      <vt:lpstr>ADAA036500col_SICK_CHG</vt:lpstr>
      <vt:lpstr>ADAA036500col_SSDI</vt:lpstr>
      <vt:lpstr>ADAA036500col_SSDI_BY</vt:lpstr>
      <vt:lpstr>ADAA036500col_SSDI_CHG</vt:lpstr>
      <vt:lpstr>ADAA036500col_SSHI</vt:lpstr>
      <vt:lpstr>ADAA036500col_SSHI_BY</vt:lpstr>
      <vt:lpstr>ADAA036500col_SSHI_CHGv</vt:lpstr>
      <vt:lpstr>ADAA036500col_TOT_VB_ELECT</vt:lpstr>
      <vt:lpstr>ADAA036500col_TOT_VB_ELECT_BY</vt:lpstr>
      <vt:lpstr>ADAA036500col_TOT_VB_ELECT_CHG</vt:lpstr>
      <vt:lpstr>ADAA036500col_TOT_VB_PERM</vt:lpstr>
      <vt:lpstr>ADAA036500col_TOT_VB_PERM_BY</vt:lpstr>
      <vt:lpstr>ADAA036500col_TOT_VB_PERM_CHG</vt:lpstr>
      <vt:lpstr>ADAA036500col_TOTAL_ELECT_PCN_FTI</vt:lpstr>
      <vt:lpstr>ADAA036500col_TOTAL_ELECT_PCN_FTI_ALT</vt:lpstr>
      <vt:lpstr>ADAA036500col_TOTAL_PERM_PCN_FTI</vt:lpstr>
      <vt:lpstr>ADAA036500col_UNEMP_INS</vt:lpstr>
      <vt:lpstr>ADAA036500col_UNEMP_INS_BY</vt:lpstr>
      <vt:lpstr>ADAA036500col_UNEMP_INS_CHG</vt:lpstr>
      <vt:lpstr>ADAA036500col_WORKERS_COMP</vt:lpstr>
      <vt:lpstr>ADAA036500col_WORKERS_COMP_BY</vt:lpstr>
      <vt:lpstr>ADAA036500col_WORKERS_COMP_CHG</vt:lpstr>
      <vt:lpstr>ADAA045000col_1_27TH_PP</vt:lpstr>
      <vt:lpstr>ADAA045000col_DHR</vt:lpstr>
      <vt:lpstr>ADAA045000col_DHR_BY</vt:lpstr>
      <vt:lpstr>ADAA045000col_DHR_CHG</vt:lpstr>
      <vt:lpstr>ADAA045000col_FTI_SALARY_ELECT</vt:lpstr>
      <vt:lpstr>ADAA045000col_FTI_SALARY_PERM</vt:lpstr>
      <vt:lpstr>ADAA045000col_FTI_SALARY_SSDI</vt:lpstr>
      <vt:lpstr>ADAA045000col_Group_Ben</vt:lpstr>
      <vt:lpstr>ADAA045000col_Group_Salary</vt:lpstr>
      <vt:lpstr>ADAA045000col_HEALTH_ELECT</vt:lpstr>
      <vt:lpstr>ADAA045000col_HEALTH_ELECT_BY</vt:lpstr>
      <vt:lpstr>ADAA045000col_HEALTH_ELECT_CHG</vt:lpstr>
      <vt:lpstr>ADAA045000col_HEALTH_PERM</vt:lpstr>
      <vt:lpstr>ADAA045000col_HEALTH_PERM_BY</vt:lpstr>
      <vt:lpstr>ADAA045000col_HEALTH_PERM_CHG</vt:lpstr>
      <vt:lpstr>ADAA045000col_INC_FTI</vt:lpstr>
      <vt:lpstr>ADAA045000col_LIFE_INS</vt:lpstr>
      <vt:lpstr>ADAA045000col_LIFE_INS_BY</vt:lpstr>
      <vt:lpstr>ADAA045000col_LIFE_INS_CHG</vt:lpstr>
      <vt:lpstr>ADAA045000col_RETIREMENT</vt:lpstr>
      <vt:lpstr>ADAA045000col_RETIREMENT_BY</vt:lpstr>
      <vt:lpstr>ADAA045000col_RETIREMENT_CHG</vt:lpstr>
      <vt:lpstr>ADAA045000col_ROWS_PER_PCN</vt:lpstr>
      <vt:lpstr>ADAA045000col_SICK</vt:lpstr>
      <vt:lpstr>ADAA045000col_SICK_BY</vt:lpstr>
      <vt:lpstr>ADAA045000col_SICK_CHG</vt:lpstr>
      <vt:lpstr>ADAA045000col_SSDI</vt:lpstr>
      <vt:lpstr>ADAA045000col_SSDI_BY</vt:lpstr>
      <vt:lpstr>ADAA045000col_SSDI_CHG</vt:lpstr>
      <vt:lpstr>ADAA045000col_SSHI</vt:lpstr>
      <vt:lpstr>ADAA045000col_SSHI_BY</vt:lpstr>
      <vt:lpstr>ADAA045000col_SSHI_CHGv</vt:lpstr>
      <vt:lpstr>ADAA045000col_TOT_VB_ELECT</vt:lpstr>
      <vt:lpstr>ADAA045000col_TOT_VB_ELECT_BY</vt:lpstr>
      <vt:lpstr>ADAA045000col_TOT_VB_ELECT_CHG</vt:lpstr>
      <vt:lpstr>ADAA045000col_TOT_VB_PERM</vt:lpstr>
      <vt:lpstr>ADAA045000col_TOT_VB_PERM_BY</vt:lpstr>
      <vt:lpstr>ADAA045000col_TOT_VB_PERM_CHG</vt:lpstr>
      <vt:lpstr>ADAA045000col_TOTAL_ELECT_PCN_FTI</vt:lpstr>
      <vt:lpstr>ADAA045000col_TOTAL_ELECT_PCN_FTI_ALT</vt:lpstr>
      <vt:lpstr>ADAA045000col_TOTAL_PERM_PCN_FTI</vt:lpstr>
      <vt:lpstr>ADAA045000col_UNEMP_INS</vt:lpstr>
      <vt:lpstr>ADAA045000col_UNEMP_INS_BY</vt:lpstr>
      <vt:lpstr>ADAA045000col_UNEMP_INS_CHG</vt:lpstr>
      <vt:lpstr>ADAA045000col_WORKERS_COMP</vt:lpstr>
      <vt:lpstr>ADAA045000col_WORKERS_COMP_BY</vt:lpstr>
      <vt:lpstr>ADAA045000col_WORKERS_COMP_CHG</vt:lpstr>
      <vt:lpstr>ADAA051900col_1_27TH_PP</vt:lpstr>
      <vt:lpstr>ADAA051900col_DHR</vt:lpstr>
      <vt:lpstr>ADAA051900col_DHR_BY</vt:lpstr>
      <vt:lpstr>ADAA051900col_DHR_CHG</vt:lpstr>
      <vt:lpstr>ADAA051900col_FTI_SALARY_ELECT</vt:lpstr>
      <vt:lpstr>ADAA051900col_FTI_SALARY_PERM</vt:lpstr>
      <vt:lpstr>ADAA051900col_FTI_SALARY_SSDI</vt:lpstr>
      <vt:lpstr>ADAA051900col_Group_Ben</vt:lpstr>
      <vt:lpstr>ADAA051900col_Group_Salary</vt:lpstr>
      <vt:lpstr>ADAA051900col_HEALTH_ELECT</vt:lpstr>
      <vt:lpstr>ADAA051900col_HEALTH_ELECT_BY</vt:lpstr>
      <vt:lpstr>ADAA051900col_HEALTH_ELECT_CHG</vt:lpstr>
      <vt:lpstr>ADAA051900col_HEALTH_PERM</vt:lpstr>
      <vt:lpstr>ADAA051900col_HEALTH_PERM_BY</vt:lpstr>
      <vt:lpstr>ADAA051900col_HEALTH_PERM_CHG</vt:lpstr>
      <vt:lpstr>ADAA051900col_INC_FTI</vt:lpstr>
      <vt:lpstr>ADAA051900col_LIFE_INS</vt:lpstr>
      <vt:lpstr>ADAA051900col_LIFE_INS_BY</vt:lpstr>
      <vt:lpstr>ADAA051900col_LIFE_INS_CHG</vt:lpstr>
      <vt:lpstr>ADAA051900col_RETIREMENT</vt:lpstr>
      <vt:lpstr>ADAA051900col_RETIREMENT_BY</vt:lpstr>
      <vt:lpstr>ADAA051900col_RETIREMENT_CHG</vt:lpstr>
      <vt:lpstr>ADAA051900col_ROWS_PER_PCN</vt:lpstr>
      <vt:lpstr>ADAA051900col_SICK</vt:lpstr>
      <vt:lpstr>ADAA051900col_SICK_BY</vt:lpstr>
      <vt:lpstr>ADAA051900col_SICK_CHG</vt:lpstr>
      <vt:lpstr>ADAA051900col_SSDI</vt:lpstr>
      <vt:lpstr>ADAA051900col_SSDI_BY</vt:lpstr>
      <vt:lpstr>ADAA051900col_SSDI_CHG</vt:lpstr>
      <vt:lpstr>ADAA051900col_SSHI</vt:lpstr>
      <vt:lpstr>ADAA051900col_SSHI_BY</vt:lpstr>
      <vt:lpstr>ADAA051900col_SSHI_CHGv</vt:lpstr>
      <vt:lpstr>ADAA051900col_TOT_VB_ELECT</vt:lpstr>
      <vt:lpstr>ADAA051900col_TOT_VB_ELECT_BY</vt:lpstr>
      <vt:lpstr>ADAA051900col_TOT_VB_ELECT_CHG</vt:lpstr>
      <vt:lpstr>ADAA051900col_TOT_VB_PERM</vt:lpstr>
      <vt:lpstr>ADAA051900col_TOT_VB_PERM_BY</vt:lpstr>
      <vt:lpstr>ADAA051900col_TOT_VB_PERM_CHG</vt:lpstr>
      <vt:lpstr>ADAA051900col_TOTAL_ELECT_PCN_FTI</vt:lpstr>
      <vt:lpstr>ADAA051900col_TOTAL_ELECT_PCN_FTI_ALT</vt:lpstr>
      <vt:lpstr>ADAA051900col_TOTAL_PERM_PCN_FTI</vt:lpstr>
      <vt:lpstr>ADAA051900col_UNEMP_INS</vt:lpstr>
      <vt:lpstr>ADAA051900col_UNEMP_INS_BY</vt:lpstr>
      <vt:lpstr>ADAA051900col_UNEMP_INS_CHG</vt:lpstr>
      <vt:lpstr>ADAA051900col_WORKERS_COMP</vt:lpstr>
      <vt:lpstr>ADAA051900col_WORKERS_COMP_BY</vt:lpstr>
      <vt:lpstr>ADAA051900col_WORKERS_COMP_CHG</vt:lpstr>
      <vt:lpstr>ADAC036500col_1_27TH_PP</vt:lpstr>
      <vt:lpstr>ADAC036500col_DHR</vt:lpstr>
      <vt:lpstr>ADAC036500col_DHR_BY</vt:lpstr>
      <vt:lpstr>ADAC036500col_DHR_CHG</vt:lpstr>
      <vt:lpstr>ADAC036500col_FTI_SALARY_ELECT</vt:lpstr>
      <vt:lpstr>ADAC036500col_FTI_SALARY_PERM</vt:lpstr>
      <vt:lpstr>ADAC036500col_FTI_SALARY_SSDI</vt:lpstr>
      <vt:lpstr>ADAC036500col_Group_Ben</vt:lpstr>
      <vt:lpstr>ADAC036500col_Group_Salary</vt:lpstr>
      <vt:lpstr>ADAC036500col_HEALTH_ELECT</vt:lpstr>
      <vt:lpstr>ADAC036500col_HEALTH_ELECT_BY</vt:lpstr>
      <vt:lpstr>ADAC036500col_HEALTH_ELECT_CHG</vt:lpstr>
      <vt:lpstr>ADAC036500col_HEALTH_PERM</vt:lpstr>
      <vt:lpstr>ADAC036500col_HEALTH_PERM_BY</vt:lpstr>
      <vt:lpstr>ADAC036500col_HEALTH_PERM_CHG</vt:lpstr>
      <vt:lpstr>ADAC036500col_INC_FTI</vt:lpstr>
      <vt:lpstr>ADAC036500col_LIFE_INS</vt:lpstr>
      <vt:lpstr>ADAC036500col_LIFE_INS_BY</vt:lpstr>
      <vt:lpstr>ADAC036500col_LIFE_INS_CHG</vt:lpstr>
      <vt:lpstr>ADAC036500col_RETIREMENT</vt:lpstr>
      <vt:lpstr>ADAC036500col_RETIREMENT_BY</vt:lpstr>
      <vt:lpstr>ADAC036500col_RETIREMENT_CHG</vt:lpstr>
      <vt:lpstr>ADAC036500col_ROWS_PER_PCN</vt:lpstr>
      <vt:lpstr>ADAC036500col_SICK</vt:lpstr>
      <vt:lpstr>ADAC036500col_SICK_BY</vt:lpstr>
      <vt:lpstr>ADAC036500col_SICK_CHG</vt:lpstr>
      <vt:lpstr>ADAC036500col_SSDI</vt:lpstr>
      <vt:lpstr>ADAC036500col_SSDI_BY</vt:lpstr>
      <vt:lpstr>ADAC036500col_SSDI_CHG</vt:lpstr>
      <vt:lpstr>ADAC036500col_SSHI</vt:lpstr>
      <vt:lpstr>ADAC036500col_SSHI_BY</vt:lpstr>
      <vt:lpstr>ADAC036500col_SSHI_CHGv</vt:lpstr>
      <vt:lpstr>ADAC036500col_TOT_VB_ELECT</vt:lpstr>
      <vt:lpstr>ADAC036500col_TOT_VB_ELECT_BY</vt:lpstr>
      <vt:lpstr>ADAC036500col_TOT_VB_ELECT_CHG</vt:lpstr>
      <vt:lpstr>ADAC036500col_TOT_VB_PERM</vt:lpstr>
      <vt:lpstr>ADAC036500col_TOT_VB_PERM_BY</vt:lpstr>
      <vt:lpstr>ADAC036500col_TOT_VB_PERM_CHG</vt:lpstr>
      <vt:lpstr>ADAC036500col_TOTAL_ELECT_PCN_FTI</vt:lpstr>
      <vt:lpstr>ADAC036500col_TOTAL_ELECT_PCN_FTI_ALT</vt:lpstr>
      <vt:lpstr>ADAC036500col_TOTAL_PERM_PCN_FTI</vt:lpstr>
      <vt:lpstr>ADAC036500col_UNEMP_INS</vt:lpstr>
      <vt:lpstr>ADAC036500col_UNEMP_INS_BY</vt:lpstr>
      <vt:lpstr>ADAC036500col_UNEMP_INS_CHG</vt:lpstr>
      <vt:lpstr>ADAC036500col_WORKERS_COMP</vt:lpstr>
      <vt:lpstr>ADAC036500col_WORKERS_COMP_BY</vt:lpstr>
      <vt:lpstr>ADAC036500col_WORKERS_COMP_CHG</vt:lpstr>
      <vt:lpstr>ADAC045000col_1_27TH_PP</vt:lpstr>
      <vt:lpstr>ADAC045000col_DHR</vt:lpstr>
      <vt:lpstr>ADAC045000col_DHR_BY</vt:lpstr>
      <vt:lpstr>ADAC045000col_DHR_CHG</vt:lpstr>
      <vt:lpstr>ADAC045000col_FTI_SALARY_ELECT</vt:lpstr>
      <vt:lpstr>ADAC045000col_FTI_SALARY_PERM</vt:lpstr>
      <vt:lpstr>ADAC045000col_FTI_SALARY_SSDI</vt:lpstr>
      <vt:lpstr>ADAC045000col_Group_Ben</vt:lpstr>
      <vt:lpstr>ADAC045000col_Group_Salary</vt:lpstr>
      <vt:lpstr>ADAC045000col_HEALTH_ELECT</vt:lpstr>
      <vt:lpstr>ADAC045000col_HEALTH_ELECT_BY</vt:lpstr>
      <vt:lpstr>ADAC045000col_HEALTH_ELECT_CHG</vt:lpstr>
      <vt:lpstr>ADAC045000col_HEALTH_PERM</vt:lpstr>
      <vt:lpstr>ADAC045000col_HEALTH_PERM_BY</vt:lpstr>
      <vt:lpstr>ADAC045000col_HEALTH_PERM_CHG</vt:lpstr>
      <vt:lpstr>ADAC045000col_INC_FTI</vt:lpstr>
      <vt:lpstr>ADAC045000col_LIFE_INS</vt:lpstr>
      <vt:lpstr>ADAC045000col_LIFE_INS_BY</vt:lpstr>
      <vt:lpstr>ADAC045000col_LIFE_INS_CHG</vt:lpstr>
      <vt:lpstr>ADAC045000col_RETIREMENT</vt:lpstr>
      <vt:lpstr>ADAC045000col_RETIREMENT_BY</vt:lpstr>
      <vt:lpstr>ADAC045000col_RETIREMENT_CHG</vt:lpstr>
      <vt:lpstr>ADAC045000col_ROWS_PER_PCN</vt:lpstr>
      <vt:lpstr>ADAC045000col_SICK</vt:lpstr>
      <vt:lpstr>ADAC045000col_SICK_BY</vt:lpstr>
      <vt:lpstr>ADAC045000col_SICK_CHG</vt:lpstr>
      <vt:lpstr>ADAC045000col_SSDI</vt:lpstr>
      <vt:lpstr>ADAC045000col_SSDI_BY</vt:lpstr>
      <vt:lpstr>ADAC045000col_SSDI_CHG</vt:lpstr>
      <vt:lpstr>ADAC045000col_SSHI</vt:lpstr>
      <vt:lpstr>ADAC045000col_SSHI_BY</vt:lpstr>
      <vt:lpstr>ADAC045000col_SSHI_CHGv</vt:lpstr>
      <vt:lpstr>ADAC045000col_TOT_VB_ELECT</vt:lpstr>
      <vt:lpstr>ADAC045000col_TOT_VB_ELECT_BY</vt:lpstr>
      <vt:lpstr>ADAC045000col_TOT_VB_ELECT_CHG</vt:lpstr>
      <vt:lpstr>ADAC045000col_TOT_VB_PERM</vt:lpstr>
      <vt:lpstr>ADAC045000col_TOT_VB_PERM_BY</vt:lpstr>
      <vt:lpstr>ADAC045000col_TOT_VB_PERM_CHG</vt:lpstr>
      <vt:lpstr>ADAC045000col_TOTAL_ELECT_PCN_FTI</vt:lpstr>
      <vt:lpstr>ADAC045000col_TOTAL_ELECT_PCN_FTI_ALT</vt:lpstr>
      <vt:lpstr>ADAC045000col_TOTAL_PERM_PCN_FTI</vt:lpstr>
      <vt:lpstr>ADAC045000col_UNEMP_INS</vt:lpstr>
      <vt:lpstr>ADAC045000col_UNEMP_INS_BY</vt:lpstr>
      <vt:lpstr>ADAC045000col_UNEMP_INS_CHG</vt:lpstr>
      <vt:lpstr>ADAC045000col_WORKERS_COMP</vt:lpstr>
      <vt:lpstr>ADAC045000col_WORKERS_COMP_BY</vt:lpstr>
      <vt:lpstr>ADAC045000col_WORKERS_COMP_CHG</vt:lpstr>
      <vt:lpstr>ADAD000100col_1_27TH_PP</vt:lpstr>
      <vt:lpstr>ADAD000100col_DHR</vt:lpstr>
      <vt:lpstr>ADAD000100col_DHR_BY</vt:lpstr>
      <vt:lpstr>ADAD000100col_DHR_CHG</vt:lpstr>
      <vt:lpstr>ADAD000100col_FTI_SALARY_ELECT</vt:lpstr>
      <vt:lpstr>ADAD000100col_FTI_SALARY_PERM</vt:lpstr>
      <vt:lpstr>ADAD000100col_FTI_SALARY_SSDI</vt:lpstr>
      <vt:lpstr>ADAD000100col_Group_Ben</vt:lpstr>
      <vt:lpstr>ADAD000100col_Group_Salary</vt:lpstr>
      <vt:lpstr>ADAD000100col_HEALTH_ELECT</vt:lpstr>
      <vt:lpstr>ADAD000100col_HEALTH_ELECT_BY</vt:lpstr>
      <vt:lpstr>ADAD000100col_HEALTH_ELECT_CHG</vt:lpstr>
      <vt:lpstr>ADAD000100col_HEALTH_PERM</vt:lpstr>
      <vt:lpstr>ADAD000100col_HEALTH_PERM_BY</vt:lpstr>
      <vt:lpstr>ADAD000100col_HEALTH_PERM_CHG</vt:lpstr>
      <vt:lpstr>ADAD000100col_INC_FTI</vt:lpstr>
      <vt:lpstr>ADAD000100col_LIFE_INS</vt:lpstr>
      <vt:lpstr>ADAD000100col_LIFE_INS_BY</vt:lpstr>
      <vt:lpstr>ADAD000100col_LIFE_INS_CHG</vt:lpstr>
      <vt:lpstr>ADAD000100col_RETIREMENT</vt:lpstr>
      <vt:lpstr>ADAD000100col_RETIREMENT_BY</vt:lpstr>
      <vt:lpstr>ADAD000100col_RETIREMENT_CHG</vt:lpstr>
      <vt:lpstr>ADAD000100col_ROWS_PER_PCN</vt:lpstr>
      <vt:lpstr>ADAD000100col_SICK</vt:lpstr>
      <vt:lpstr>ADAD000100col_SICK_BY</vt:lpstr>
      <vt:lpstr>ADAD000100col_SICK_CHG</vt:lpstr>
      <vt:lpstr>ADAD000100col_SSDI</vt:lpstr>
      <vt:lpstr>ADAD000100col_SSDI_BY</vt:lpstr>
      <vt:lpstr>ADAD000100col_SSDI_CHG</vt:lpstr>
      <vt:lpstr>ADAD000100col_SSHI</vt:lpstr>
      <vt:lpstr>ADAD000100col_SSHI_BY</vt:lpstr>
      <vt:lpstr>ADAD000100col_SSHI_CHGv</vt:lpstr>
      <vt:lpstr>ADAD000100col_TOT_VB_ELECT</vt:lpstr>
      <vt:lpstr>ADAD000100col_TOT_VB_ELECT_BY</vt:lpstr>
      <vt:lpstr>ADAD000100col_TOT_VB_ELECT_CHG</vt:lpstr>
      <vt:lpstr>ADAD000100col_TOT_VB_PERM</vt:lpstr>
      <vt:lpstr>ADAD000100col_TOT_VB_PERM_BY</vt:lpstr>
      <vt:lpstr>ADAD000100col_TOT_VB_PERM_CHG</vt:lpstr>
      <vt:lpstr>ADAD000100col_TOTAL_ELECT_PCN_FTI</vt:lpstr>
      <vt:lpstr>ADAD000100col_TOTAL_ELECT_PCN_FTI_ALT</vt:lpstr>
      <vt:lpstr>ADAD000100col_TOTAL_PERM_PCN_FTI</vt:lpstr>
      <vt:lpstr>ADAD000100col_UNEMP_INS</vt:lpstr>
      <vt:lpstr>ADAD000100col_UNEMP_INS_BY</vt:lpstr>
      <vt:lpstr>ADAD000100col_UNEMP_INS_CHG</vt:lpstr>
      <vt:lpstr>ADAD000100col_WORKERS_COMP</vt:lpstr>
      <vt:lpstr>ADAD000100col_WORKERS_COMP_BY</vt:lpstr>
      <vt:lpstr>ADAD000100col_WORKERS_COMP_CHG</vt:lpstr>
      <vt:lpstr>ADAD045000col_1_27TH_PP</vt:lpstr>
      <vt:lpstr>ADAD045000col_DHR</vt:lpstr>
      <vt:lpstr>ADAD045000col_DHR_BY</vt:lpstr>
      <vt:lpstr>ADAD045000col_DHR_CHG</vt:lpstr>
      <vt:lpstr>ADAD045000col_FTI_SALARY_ELECT</vt:lpstr>
      <vt:lpstr>ADAD045000col_FTI_SALARY_PERM</vt:lpstr>
      <vt:lpstr>ADAD045000col_FTI_SALARY_SSDI</vt:lpstr>
      <vt:lpstr>ADAD045000col_Group_Ben</vt:lpstr>
      <vt:lpstr>ADAD045000col_Group_Salary</vt:lpstr>
      <vt:lpstr>ADAD045000col_HEALTH_ELECT</vt:lpstr>
      <vt:lpstr>ADAD045000col_HEALTH_ELECT_BY</vt:lpstr>
      <vt:lpstr>ADAD045000col_HEALTH_ELECT_CHG</vt:lpstr>
      <vt:lpstr>ADAD045000col_HEALTH_PERM</vt:lpstr>
      <vt:lpstr>ADAD045000col_HEALTH_PERM_BY</vt:lpstr>
      <vt:lpstr>ADAD045000col_HEALTH_PERM_CHG</vt:lpstr>
      <vt:lpstr>ADAD045000col_INC_FTI</vt:lpstr>
      <vt:lpstr>ADAD045000col_LIFE_INS</vt:lpstr>
      <vt:lpstr>ADAD045000col_LIFE_INS_BY</vt:lpstr>
      <vt:lpstr>ADAD045000col_LIFE_INS_CHG</vt:lpstr>
      <vt:lpstr>ADAD045000col_RETIREMENT</vt:lpstr>
      <vt:lpstr>ADAD045000col_RETIREMENT_BY</vt:lpstr>
      <vt:lpstr>ADAD045000col_RETIREMENT_CHG</vt:lpstr>
      <vt:lpstr>ADAD045000col_ROWS_PER_PCN</vt:lpstr>
      <vt:lpstr>ADAD045000col_SICK</vt:lpstr>
      <vt:lpstr>ADAD045000col_SICK_BY</vt:lpstr>
      <vt:lpstr>ADAD045000col_SICK_CHG</vt:lpstr>
      <vt:lpstr>ADAD045000col_SSDI</vt:lpstr>
      <vt:lpstr>ADAD045000col_SSDI_BY</vt:lpstr>
      <vt:lpstr>ADAD045000col_SSDI_CHG</vt:lpstr>
      <vt:lpstr>ADAD045000col_SSHI</vt:lpstr>
      <vt:lpstr>ADAD045000col_SSHI_BY</vt:lpstr>
      <vt:lpstr>ADAD045000col_SSHI_CHGv</vt:lpstr>
      <vt:lpstr>ADAD045000col_TOT_VB_ELECT</vt:lpstr>
      <vt:lpstr>ADAD045000col_TOT_VB_ELECT_BY</vt:lpstr>
      <vt:lpstr>ADAD045000col_TOT_VB_ELECT_CHG</vt:lpstr>
      <vt:lpstr>ADAD045000col_TOT_VB_PERM</vt:lpstr>
      <vt:lpstr>ADAD045000col_TOT_VB_PERM_BY</vt:lpstr>
      <vt:lpstr>ADAD045000col_TOT_VB_PERM_CHG</vt:lpstr>
      <vt:lpstr>ADAD045000col_TOTAL_ELECT_PCN_FTI</vt:lpstr>
      <vt:lpstr>ADAD045000col_TOTAL_ELECT_PCN_FTI_ALT</vt:lpstr>
      <vt:lpstr>ADAD045000col_TOTAL_PERM_PCN_FTI</vt:lpstr>
      <vt:lpstr>ADAD045000col_UNEMP_INS</vt:lpstr>
      <vt:lpstr>ADAD045000col_UNEMP_INS_BY</vt:lpstr>
      <vt:lpstr>ADAD045000col_UNEMP_INS_CHG</vt:lpstr>
      <vt:lpstr>ADAD045000col_WORKERS_COMP</vt:lpstr>
      <vt:lpstr>ADAD045000col_WORKERS_COMP_BY</vt:lpstr>
      <vt:lpstr>ADAD045000col_WORKERS_COMP_CHG</vt:lpstr>
      <vt:lpstr>ADAD045600col_1_27TH_PP</vt:lpstr>
      <vt:lpstr>ADAD045600col_DHR</vt:lpstr>
      <vt:lpstr>ADAD045600col_DHR_BY</vt:lpstr>
      <vt:lpstr>ADAD045600col_DHR_CHG</vt:lpstr>
      <vt:lpstr>ADAD045600col_FTI_SALARY_ELECT</vt:lpstr>
      <vt:lpstr>ADAD045600col_FTI_SALARY_PERM</vt:lpstr>
      <vt:lpstr>ADAD045600col_FTI_SALARY_SSDI</vt:lpstr>
      <vt:lpstr>ADAD045600col_Group_Ben</vt:lpstr>
      <vt:lpstr>ADAD045600col_Group_Salary</vt:lpstr>
      <vt:lpstr>ADAD045600col_HEALTH_ELECT</vt:lpstr>
      <vt:lpstr>ADAD045600col_HEALTH_ELECT_BY</vt:lpstr>
      <vt:lpstr>ADAD045600col_HEALTH_ELECT_CHG</vt:lpstr>
      <vt:lpstr>ADAD045600col_HEALTH_PERM</vt:lpstr>
      <vt:lpstr>ADAD045600col_HEALTH_PERM_BY</vt:lpstr>
      <vt:lpstr>ADAD045600col_HEALTH_PERM_CHG</vt:lpstr>
      <vt:lpstr>ADAD045600col_INC_FTI</vt:lpstr>
      <vt:lpstr>ADAD045600col_LIFE_INS</vt:lpstr>
      <vt:lpstr>ADAD045600col_LIFE_INS_BY</vt:lpstr>
      <vt:lpstr>ADAD045600col_LIFE_INS_CHG</vt:lpstr>
      <vt:lpstr>ADAD045600col_RETIREMENT</vt:lpstr>
      <vt:lpstr>ADAD045600col_RETIREMENT_BY</vt:lpstr>
      <vt:lpstr>ADAD045600col_RETIREMENT_CHG</vt:lpstr>
      <vt:lpstr>ADAD045600col_ROWS_PER_PCN</vt:lpstr>
      <vt:lpstr>ADAD045600col_SICK</vt:lpstr>
      <vt:lpstr>ADAD045600col_SICK_BY</vt:lpstr>
      <vt:lpstr>ADAD045600col_SICK_CHG</vt:lpstr>
      <vt:lpstr>ADAD045600col_SSDI</vt:lpstr>
      <vt:lpstr>ADAD045600col_SSDI_BY</vt:lpstr>
      <vt:lpstr>ADAD045600col_SSDI_CHG</vt:lpstr>
      <vt:lpstr>ADAD045600col_SSHI</vt:lpstr>
      <vt:lpstr>ADAD045600col_SSHI_BY</vt:lpstr>
      <vt:lpstr>ADAD045600col_SSHI_CHGv</vt:lpstr>
      <vt:lpstr>ADAD045600col_TOT_VB_ELECT</vt:lpstr>
      <vt:lpstr>ADAD045600col_TOT_VB_ELECT_BY</vt:lpstr>
      <vt:lpstr>ADAD045600col_TOT_VB_ELECT_CHG</vt:lpstr>
      <vt:lpstr>ADAD045600col_TOT_VB_PERM</vt:lpstr>
      <vt:lpstr>ADAD045600col_TOT_VB_PERM_BY</vt:lpstr>
      <vt:lpstr>ADAD045600col_TOT_VB_PERM_CHG</vt:lpstr>
      <vt:lpstr>ADAD045600col_TOTAL_ELECT_PCN_FTI</vt:lpstr>
      <vt:lpstr>ADAD045600col_TOTAL_ELECT_PCN_FTI_ALT</vt:lpstr>
      <vt:lpstr>ADAD045600col_TOTAL_PERM_PCN_FTI</vt:lpstr>
      <vt:lpstr>ADAD045600col_UNEMP_INS</vt:lpstr>
      <vt:lpstr>ADAD045600col_UNEMP_INS_BY</vt:lpstr>
      <vt:lpstr>ADAD045600col_UNEMP_INS_CHG</vt:lpstr>
      <vt:lpstr>ADAD045600col_WORKERS_COMP</vt:lpstr>
      <vt:lpstr>ADAD045600col_WORKERS_COMP_BY</vt:lpstr>
      <vt:lpstr>ADAD045600col_WORKERS_COMP_CHG</vt:lpstr>
      <vt:lpstr>ADAF051900col_1_27TH_PP</vt:lpstr>
      <vt:lpstr>ADAF051900col_DHR</vt:lpstr>
      <vt:lpstr>ADAF051900col_DHR_BY</vt:lpstr>
      <vt:lpstr>ADAF051900col_DHR_CHG</vt:lpstr>
      <vt:lpstr>ADAF051900col_FTI_SALARY_ELECT</vt:lpstr>
      <vt:lpstr>ADAF051900col_FTI_SALARY_PERM</vt:lpstr>
      <vt:lpstr>ADAF051900col_FTI_SALARY_SSDI</vt:lpstr>
      <vt:lpstr>ADAF051900col_Group_Ben</vt:lpstr>
      <vt:lpstr>ADAF051900col_Group_Salary</vt:lpstr>
      <vt:lpstr>ADAF051900col_HEALTH_ELECT</vt:lpstr>
      <vt:lpstr>ADAF051900col_HEALTH_ELECT_BY</vt:lpstr>
      <vt:lpstr>ADAF051900col_HEALTH_ELECT_CHG</vt:lpstr>
      <vt:lpstr>ADAF051900col_HEALTH_PERM</vt:lpstr>
      <vt:lpstr>ADAF051900col_HEALTH_PERM_BY</vt:lpstr>
      <vt:lpstr>ADAF051900col_HEALTH_PERM_CHG</vt:lpstr>
      <vt:lpstr>ADAF051900col_INC_FTI</vt:lpstr>
      <vt:lpstr>ADAF051900col_LIFE_INS</vt:lpstr>
      <vt:lpstr>ADAF051900col_LIFE_INS_BY</vt:lpstr>
      <vt:lpstr>ADAF051900col_LIFE_INS_CHG</vt:lpstr>
      <vt:lpstr>ADAF051900col_RETIREMENT</vt:lpstr>
      <vt:lpstr>ADAF051900col_RETIREMENT_BY</vt:lpstr>
      <vt:lpstr>ADAF051900col_RETIREMENT_CHG</vt:lpstr>
      <vt:lpstr>ADAF051900col_ROWS_PER_PCN</vt:lpstr>
      <vt:lpstr>ADAF051900col_SICK</vt:lpstr>
      <vt:lpstr>ADAF051900col_SICK_BY</vt:lpstr>
      <vt:lpstr>ADAF051900col_SICK_CHG</vt:lpstr>
      <vt:lpstr>ADAF051900col_SSDI</vt:lpstr>
      <vt:lpstr>ADAF051900col_SSDI_BY</vt:lpstr>
      <vt:lpstr>ADAF051900col_SSDI_CHG</vt:lpstr>
      <vt:lpstr>ADAF051900col_SSHI</vt:lpstr>
      <vt:lpstr>ADAF051900col_SSHI_BY</vt:lpstr>
      <vt:lpstr>ADAF051900col_SSHI_CHGv</vt:lpstr>
      <vt:lpstr>ADAF051900col_TOT_VB_ELECT</vt:lpstr>
      <vt:lpstr>ADAF051900col_TOT_VB_ELECT_BY</vt:lpstr>
      <vt:lpstr>ADAF051900col_TOT_VB_ELECT_CHG</vt:lpstr>
      <vt:lpstr>ADAF051900col_TOT_VB_PERM</vt:lpstr>
      <vt:lpstr>ADAF051900col_TOT_VB_PERM_BY</vt:lpstr>
      <vt:lpstr>ADAF051900col_TOT_VB_PERM_CHG</vt:lpstr>
      <vt:lpstr>ADAF051900col_TOTAL_ELECT_PCN_FTI</vt:lpstr>
      <vt:lpstr>ADAF051900col_TOTAL_ELECT_PCN_FTI_ALT</vt:lpstr>
      <vt:lpstr>ADAF051900col_TOTAL_PERM_PCN_FTI</vt:lpstr>
      <vt:lpstr>ADAF051900col_UNEMP_INS</vt:lpstr>
      <vt:lpstr>ADAF051900col_UNEMP_INS_BY</vt:lpstr>
      <vt:lpstr>ADAF051900col_UNEMP_INS_CHG</vt:lpstr>
      <vt:lpstr>ADAF051900col_WORKERS_COMP</vt:lpstr>
      <vt:lpstr>ADAF051900col_WORKERS_COMP_BY</vt:lpstr>
      <vt:lpstr>ADAF051900col_WORKERS_COMP_CHG</vt:lpstr>
      <vt:lpstr>ADAH045000col_1_27TH_PP</vt:lpstr>
      <vt:lpstr>ADAH045000col_DHR</vt:lpstr>
      <vt:lpstr>ADAH045000col_DHR_BY</vt:lpstr>
      <vt:lpstr>ADAH045000col_DHR_CHG</vt:lpstr>
      <vt:lpstr>ADAH045000col_FTI_SALARY_ELECT</vt:lpstr>
      <vt:lpstr>ADAH045000col_FTI_SALARY_PERM</vt:lpstr>
      <vt:lpstr>ADAH045000col_FTI_SALARY_SSDI</vt:lpstr>
      <vt:lpstr>ADAH045000col_Group_Ben</vt:lpstr>
      <vt:lpstr>ADAH045000col_Group_Salary</vt:lpstr>
      <vt:lpstr>ADAH045000col_HEALTH_ELECT</vt:lpstr>
      <vt:lpstr>ADAH045000col_HEALTH_ELECT_BY</vt:lpstr>
      <vt:lpstr>ADAH045000col_HEALTH_ELECT_CHG</vt:lpstr>
      <vt:lpstr>ADAH045000col_HEALTH_PERM</vt:lpstr>
      <vt:lpstr>ADAH045000col_HEALTH_PERM_BY</vt:lpstr>
      <vt:lpstr>ADAH045000col_HEALTH_PERM_CHG</vt:lpstr>
      <vt:lpstr>ADAH045000col_INC_FTI</vt:lpstr>
      <vt:lpstr>ADAH045000col_LIFE_INS</vt:lpstr>
      <vt:lpstr>ADAH045000col_LIFE_INS_BY</vt:lpstr>
      <vt:lpstr>ADAH045000col_LIFE_INS_CHG</vt:lpstr>
      <vt:lpstr>ADAH045000col_RETIREMENT</vt:lpstr>
      <vt:lpstr>ADAH045000col_RETIREMENT_BY</vt:lpstr>
      <vt:lpstr>ADAH045000col_RETIREMENT_CHG</vt:lpstr>
      <vt:lpstr>ADAH045000col_ROWS_PER_PCN</vt:lpstr>
      <vt:lpstr>ADAH045000col_SICK</vt:lpstr>
      <vt:lpstr>ADAH045000col_SICK_BY</vt:lpstr>
      <vt:lpstr>ADAH045000col_SICK_CHG</vt:lpstr>
      <vt:lpstr>ADAH045000col_SSDI</vt:lpstr>
      <vt:lpstr>ADAH045000col_SSDI_BY</vt:lpstr>
      <vt:lpstr>ADAH045000col_SSDI_CHG</vt:lpstr>
      <vt:lpstr>ADAH045000col_SSHI</vt:lpstr>
      <vt:lpstr>ADAH045000col_SSHI_BY</vt:lpstr>
      <vt:lpstr>ADAH045000col_SSHI_CHGv</vt:lpstr>
      <vt:lpstr>ADAH045000col_TOT_VB_ELECT</vt:lpstr>
      <vt:lpstr>ADAH045000col_TOT_VB_ELECT_BY</vt:lpstr>
      <vt:lpstr>ADAH045000col_TOT_VB_ELECT_CHG</vt:lpstr>
      <vt:lpstr>ADAH045000col_TOT_VB_PERM</vt:lpstr>
      <vt:lpstr>ADAH045000col_TOT_VB_PERM_BY</vt:lpstr>
      <vt:lpstr>ADAH045000col_TOT_VB_PERM_CHG</vt:lpstr>
      <vt:lpstr>ADAH045000col_TOTAL_ELECT_PCN_FTI</vt:lpstr>
      <vt:lpstr>ADAH045000col_TOTAL_ELECT_PCN_FTI_ALT</vt:lpstr>
      <vt:lpstr>ADAH045000col_TOTAL_PERM_PCN_FTI</vt:lpstr>
      <vt:lpstr>ADAH045000col_UNEMP_INS</vt:lpstr>
      <vt:lpstr>ADAH045000col_UNEMP_INS_BY</vt:lpstr>
      <vt:lpstr>ADAH045000col_UNEMP_INS_CHG</vt:lpstr>
      <vt:lpstr>ADAH045000col_WORKERS_COMP</vt:lpstr>
      <vt:lpstr>ADAH045000col_WORKERS_COMP_BY</vt:lpstr>
      <vt:lpstr>ADAH045000col_WORKERS_COMP_CHG</vt:lpstr>
      <vt:lpstr>ADAI046100col_1_27TH_PP</vt:lpstr>
      <vt:lpstr>ADAI046100col_DHR</vt:lpstr>
      <vt:lpstr>ADAI046100col_DHR_BY</vt:lpstr>
      <vt:lpstr>ADAI046100col_DHR_CHG</vt:lpstr>
      <vt:lpstr>ADAI046100col_FTI_SALARY_ELECT</vt:lpstr>
      <vt:lpstr>ADAI046100col_FTI_SALARY_PERM</vt:lpstr>
      <vt:lpstr>ADAI046100col_FTI_SALARY_SSDI</vt:lpstr>
      <vt:lpstr>ADAI046100col_Group_Ben</vt:lpstr>
      <vt:lpstr>ADAI046100col_Group_Salary</vt:lpstr>
      <vt:lpstr>ADAI046100col_HEALTH_ELECT</vt:lpstr>
      <vt:lpstr>ADAI046100col_HEALTH_ELECT_BY</vt:lpstr>
      <vt:lpstr>ADAI046100col_HEALTH_ELECT_CHG</vt:lpstr>
      <vt:lpstr>ADAI046100col_HEALTH_PERM</vt:lpstr>
      <vt:lpstr>ADAI046100col_HEALTH_PERM_BY</vt:lpstr>
      <vt:lpstr>ADAI046100col_HEALTH_PERM_CHG</vt:lpstr>
      <vt:lpstr>ADAI046100col_INC_FTI</vt:lpstr>
      <vt:lpstr>ADAI046100col_LIFE_INS</vt:lpstr>
      <vt:lpstr>ADAI046100col_LIFE_INS_BY</vt:lpstr>
      <vt:lpstr>ADAI046100col_LIFE_INS_CHG</vt:lpstr>
      <vt:lpstr>ADAI046100col_RETIREMENT</vt:lpstr>
      <vt:lpstr>ADAI046100col_RETIREMENT_BY</vt:lpstr>
      <vt:lpstr>ADAI046100col_RETIREMENT_CHG</vt:lpstr>
      <vt:lpstr>ADAI046100col_ROWS_PER_PCN</vt:lpstr>
      <vt:lpstr>ADAI046100col_SICK</vt:lpstr>
      <vt:lpstr>ADAI046100col_SICK_BY</vt:lpstr>
      <vt:lpstr>ADAI046100col_SICK_CHG</vt:lpstr>
      <vt:lpstr>ADAI046100col_SSDI</vt:lpstr>
      <vt:lpstr>ADAI046100col_SSDI_BY</vt:lpstr>
      <vt:lpstr>ADAI046100col_SSDI_CHG</vt:lpstr>
      <vt:lpstr>ADAI046100col_SSHI</vt:lpstr>
      <vt:lpstr>ADAI046100col_SSHI_BY</vt:lpstr>
      <vt:lpstr>ADAI046100col_SSHI_CHGv</vt:lpstr>
      <vt:lpstr>ADAI046100col_TOT_VB_ELECT</vt:lpstr>
      <vt:lpstr>ADAI046100col_TOT_VB_ELECT_BY</vt:lpstr>
      <vt:lpstr>ADAI046100col_TOT_VB_ELECT_CHG</vt:lpstr>
      <vt:lpstr>ADAI046100col_TOT_VB_PERM</vt:lpstr>
      <vt:lpstr>ADAI046100col_TOT_VB_PERM_BY</vt:lpstr>
      <vt:lpstr>ADAI046100col_TOT_VB_PERM_CHG</vt:lpstr>
      <vt:lpstr>ADAI046100col_TOTAL_ELECT_PCN_FTI</vt:lpstr>
      <vt:lpstr>ADAI046100col_TOTAL_ELECT_PCN_FTI_ALT</vt:lpstr>
      <vt:lpstr>ADAI046100col_TOTAL_PERM_PCN_FTI</vt:lpstr>
      <vt:lpstr>ADAI046100col_UNEMP_INS</vt:lpstr>
      <vt:lpstr>ADAI046100col_UNEMP_INS_BY</vt:lpstr>
      <vt:lpstr>ADAI046100col_UNEMP_INS_CHG</vt:lpstr>
      <vt:lpstr>ADAI046100col_WORKERS_COMP</vt:lpstr>
      <vt:lpstr>ADAI046100col_WORKERS_COMP_BY</vt:lpstr>
      <vt:lpstr>ADAI046100col_WORKERS_COMP_CHG</vt:lpstr>
      <vt:lpstr>ADAI046200col_1_27TH_PP</vt:lpstr>
      <vt:lpstr>ADAI046200col_DHR</vt:lpstr>
      <vt:lpstr>ADAI046200col_DHR_BY</vt:lpstr>
      <vt:lpstr>ADAI046200col_DHR_CHG</vt:lpstr>
      <vt:lpstr>ADAI046200col_FTI_SALARY_ELECT</vt:lpstr>
      <vt:lpstr>ADAI046200col_FTI_SALARY_PERM</vt:lpstr>
      <vt:lpstr>ADAI046200col_FTI_SALARY_SSDI</vt:lpstr>
      <vt:lpstr>ADAI046200col_Group_Ben</vt:lpstr>
      <vt:lpstr>ADAI046200col_Group_Salary</vt:lpstr>
      <vt:lpstr>ADAI046200col_HEALTH_ELECT</vt:lpstr>
      <vt:lpstr>ADAI046200col_HEALTH_ELECT_BY</vt:lpstr>
      <vt:lpstr>ADAI046200col_HEALTH_ELECT_CHG</vt:lpstr>
      <vt:lpstr>ADAI046200col_HEALTH_PERM</vt:lpstr>
      <vt:lpstr>ADAI046200col_HEALTH_PERM_BY</vt:lpstr>
      <vt:lpstr>ADAI046200col_HEALTH_PERM_CHG</vt:lpstr>
      <vt:lpstr>ADAI046200col_INC_FTI</vt:lpstr>
      <vt:lpstr>ADAI046200col_LIFE_INS</vt:lpstr>
      <vt:lpstr>ADAI046200col_LIFE_INS_BY</vt:lpstr>
      <vt:lpstr>ADAI046200col_LIFE_INS_CHG</vt:lpstr>
      <vt:lpstr>ADAI046200col_RETIREMENT</vt:lpstr>
      <vt:lpstr>ADAI046200col_RETIREMENT_BY</vt:lpstr>
      <vt:lpstr>ADAI046200col_RETIREMENT_CHG</vt:lpstr>
      <vt:lpstr>ADAI046200col_ROWS_PER_PCN</vt:lpstr>
      <vt:lpstr>ADAI046200col_SICK</vt:lpstr>
      <vt:lpstr>ADAI046200col_SICK_BY</vt:lpstr>
      <vt:lpstr>ADAI046200col_SICK_CHG</vt:lpstr>
      <vt:lpstr>ADAI046200col_SSDI</vt:lpstr>
      <vt:lpstr>ADAI046200col_SSDI_BY</vt:lpstr>
      <vt:lpstr>ADAI046200col_SSDI_CHG</vt:lpstr>
      <vt:lpstr>ADAI046200col_SSHI</vt:lpstr>
      <vt:lpstr>ADAI046200col_SSHI_BY</vt:lpstr>
      <vt:lpstr>ADAI046200col_SSHI_CHGv</vt:lpstr>
      <vt:lpstr>ADAI046200col_TOT_VB_ELECT</vt:lpstr>
      <vt:lpstr>ADAI046200col_TOT_VB_ELECT_BY</vt:lpstr>
      <vt:lpstr>ADAI046200col_TOT_VB_ELECT_CHG</vt:lpstr>
      <vt:lpstr>ADAI046200col_TOT_VB_PERM</vt:lpstr>
      <vt:lpstr>ADAI046200col_TOT_VB_PERM_BY</vt:lpstr>
      <vt:lpstr>ADAI046200col_TOT_VB_PERM_CHG</vt:lpstr>
      <vt:lpstr>ADAI046200col_TOTAL_ELECT_PCN_FTI</vt:lpstr>
      <vt:lpstr>ADAI046200col_TOTAL_ELECT_PCN_FTI_ALT</vt:lpstr>
      <vt:lpstr>ADAI046200col_TOTAL_PERM_PCN_FTI</vt:lpstr>
      <vt:lpstr>ADAI046200col_UNEMP_INS</vt:lpstr>
      <vt:lpstr>ADAI046200col_UNEMP_INS_BY</vt:lpstr>
      <vt:lpstr>ADAI046200col_UNEMP_INS_CHG</vt:lpstr>
      <vt:lpstr>ADAI046200col_WORKERS_COMP</vt:lpstr>
      <vt:lpstr>ADAI046200col_WORKERS_COMP_BY</vt:lpstr>
      <vt:lpstr>ADAI046200col_WORKERS_COMP_CHG</vt:lpstr>
      <vt:lpstr>ADAI051900col_1_27TH_PP</vt:lpstr>
      <vt:lpstr>ADAI051900col_DHR</vt:lpstr>
      <vt:lpstr>ADAI051900col_DHR_BY</vt:lpstr>
      <vt:lpstr>ADAI051900col_DHR_CHG</vt:lpstr>
      <vt:lpstr>ADAI051900col_FTI_SALARY_ELECT</vt:lpstr>
      <vt:lpstr>ADAI051900col_FTI_SALARY_PERM</vt:lpstr>
      <vt:lpstr>ADAI051900col_FTI_SALARY_SSDI</vt:lpstr>
      <vt:lpstr>ADAI051900col_Group_Ben</vt:lpstr>
      <vt:lpstr>ADAI051900col_Group_Salary</vt:lpstr>
      <vt:lpstr>ADAI051900col_HEALTH_ELECT</vt:lpstr>
      <vt:lpstr>ADAI051900col_HEALTH_ELECT_BY</vt:lpstr>
      <vt:lpstr>ADAI051900col_HEALTH_ELECT_CHG</vt:lpstr>
      <vt:lpstr>ADAI051900col_HEALTH_PERM</vt:lpstr>
      <vt:lpstr>ADAI051900col_HEALTH_PERM_BY</vt:lpstr>
      <vt:lpstr>ADAI051900col_HEALTH_PERM_CHG</vt:lpstr>
      <vt:lpstr>ADAI051900col_INC_FTI</vt:lpstr>
      <vt:lpstr>ADAI051900col_LIFE_INS</vt:lpstr>
      <vt:lpstr>ADAI051900col_LIFE_INS_BY</vt:lpstr>
      <vt:lpstr>ADAI051900col_LIFE_INS_CHG</vt:lpstr>
      <vt:lpstr>ADAI051900col_RETIREMENT</vt:lpstr>
      <vt:lpstr>ADAI051900col_RETIREMENT_BY</vt:lpstr>
      <vt:lpstr>ADAI051900col_RETIREMENT_CHG</vt:lpstr>
      <vt:lpstr>ADAI051900col_ROWS_PER_PCN</vt:lpstr>
      <vt:lpstr>ADAI051900col_SICK</vt:lpstr>
      <vt:lpstr>ADAI051900col_SICK_BY</vt:lpstr>
      <vt:lpstr>ADAI051900col_SICK_CHG</vt:lpstr>
      <vt:lpstr>ADAI051900col_SSDI</vt:lpstr>
      <vt:lpstr>ADAI051900col_SSDI_BY</vt:lpstr>
      <vt:lpstr>ADAI051900col_SSDI_CHG</vt:lpstr>
      <vt:lpstr>ADAI051900col_SSHI</vt:lpstr>
      <vt:lpstr>ADAI051900col_SSHI_BY</vt:lpstr>
      <vt:lpstr>ADAI051900col_SSHI_CHGv</vt:lpstr>
      <vt:lpstr>ADAI051900col_TOT_VB_ELECT</vt:lpstr>
      <vt:lpstr>ADAI051900col_TOT_VB_ELECT_BY</vt:lpstr>
      <vt:lpstr>ADAI051900col_TOT_VB_ELECT_CHG</vt:lpstr>
      <vt:lpstr>ADAI051900col_TOT_VB_PERM</vt:lpstr>
      <vt:lpstr>ADAI051900col_TOT_VB_PERM_BY</vt:lpstr>
      <vt:lpstr>ADAI051900col_TOT_VB_PERM_CHG</vt:lpstr>
      <vt:lpstr>ADAI051900col_TOTAL_ELECT_PCN_FTI</vt:lpstr>
      <vt:lpstr>ADAI051900col_TOTAL_ELECT_PCN_FTI_ALT</vt:lpstr>
      <vt:lpstr>ADAI051900col_TOTAL_PERM_PCN_FTI</vt:lpstr>
      <vt:lpstr>ADAI051900col_UNEMP_INS</vt:lpstr>
      <vt:lpstr>ADAI051900col_UNEMP_INS_BY</vt:lpstr>
      <vt:lpstr>ADAI051900col_UNEMP_INS_CHG</vt:lpstr>
      <vt:lpstr>ADAI051900col_WORKERS_COMP</vt:lpstr>
      <vt:lpstr>ADAI051900col_WORKERS_COMP_BY</vt:lpstr>
      <vt:lpstr>ADAI051900col_WORKERS_COMP_CHG</vt:lpstr>
      <vt:lpstr>ADAK046100col_1_27TH_PP</vt:lpstr>
      <vt:lpstr>ADAK046100col_DHR</vt:lpstr>
      <vt:lpstr>ADAK046100col_DHR_BY</vt:lpstr>
      <vt:lpstr>ADAK046100col_DHR_CHG</vt:lpstr>
      <vt:lpstr>ADAK046100col_FTI_SALARY_ELECT</vt:lpstr>
      <vt:lpstr>ADAK046100col_FTI_SALARY_PERM</vt:lpstr>
      <vt:lpstr>ADAK046100col_FTI_SALARY_SSDI</vt:lpstr>
      <vt:lpstr>ADAK046100col_Group_Ben</vt:lpstr>
      <vt:lpstr>ADAK046100col_Group_Salary</vt:lpstr>
      <vt:lpstr>ADAK046100col_HEALTH_ELECT</vt:lpstr>
      <vt:lpstr>ADAK046100col_HEALTH_ELECT_BY</vt:lpstr>
      <vt:lpstr>ADAK046100col_HEALTH_ELECT_CHG</vt:lpstr>
      <vt:lpstr>ADAK046100col_HEALTH_PERM</vt:lpstr>
      <vt:lpstr>ADAK046100col_HEALTH_PERM_BY</vt:lpstr>
      <vt:lpstr>ADAK046100col_HEALTH_PERM_CHG</vt:lpstr>
      <vt:lpstr>ADAK046100col_INC_FTI</vt:lpstr>
      <vt:lpstr>ADAK046100col_LIFE_INS</vt:lpstr>
      <vt:lpstr>ADAK046100col_LIFE_INS_BY</vt:lpstr>
      <vt:lpstr>ADAK046100col_LIFE_INS_CHG</vt:lpstr>
      <vt:lpstr>ADAK046100col_RETIREMENT</vt:lpstr>
      <vt:lpstr>ADAK046100col_RETIREMENT_BY</vt:lpstr>
      <vt:lpstr>ADAK046100col_RETIREMENT_CHG</vt:lpstr>
      <vt:lpstr>ADAK046100col_ROWS_PER_PCN</vt:lpstr>
      <vt:lpstr>ADAK046100col_SICK</vt:lpstr>
      <vt:lpstr>ADAK046100col_SICK_BY</vt:lpstr>
      <vt:lpstr>ADAK046100col_SICK_CHG</vt:lpstr>
      <vt:lpstr>ADAK046100col_SSDI</vt:lpstr>
      <vt:lpstr>ADAK046100col_SSDI_BY</vt:lpstr>
      <vt:lpstr>ADAK046100col_SSDI_CHG</vt:lpstr>
      <vt:lpstr>ADAK046100col_SSHI</vt:lpstr>
      <vt:lpstr>ADAK046100col_SSHI_BY</vt:lpstr>
      <vt:lpstr>ADAK046100col_SSHI_CHGv</vt:lpstr>
      <vt:lpstr>ADAK046100col_TOT_VB_ELECT</vt:lpstr>
      <vt:lpstr>ADAK046100col_TOT_VB_ELECT_BY</vt:lpstr>
      <vt:lpstr>ADAK046100col_TOT_VB_ELECT_CHG</vt:lpstr>
      <vt:lpstr>ADAK046100col_TOT_VB_PERM</vt:lpstr>
      <vt:lpstr>ADAK046100col_TOT_VB_PERM_BY</vt:lpstr>
      <vt:lpstr>ADAK046100col_TOT_VB_PERM_CHG</vt:lpstr>
      <vt:lpstr>ADAK046100col_TOTAL_ELECT_PCN_FTI</vt:lpstr>
      <vt:lpstr>ADAK046100col_TOTAL_ELECT_PCN_FTI_ALT</vt:lpstr>
      <vt:lpstr>ADAK046100col_TOTAL_PERM_PCN_FTI</vt:lpstr>
      <vt:lpstr>ADAK046100col_UNEMP_INS</vt:lpstr>
      <vt:lpstr>ADAK046100col_UNEMP_INS_BY</vt:lpstr>
      <vt:lpstr>ADAK046100col_UNEMP_INS_CHG</vt:lpstr>
      <vt:lpstr>ADAK046100col_WORKERS_COMP</vt:lpstr>
      <vt:lpstr>ADAK046100col_WORKERS_COMP_BY</vt:lpstr>
      <vt:lpstr>ADAK046100col_WORKERS_COMP_CHG</vt:lpstr>
      <vt:lpstr>ADAK046200col_1_27TH_PP</vt:lpstr>
      <vt:lpstr>ADAK046200col_DHR</vt:lpstr>
      <vt:lpstr>ADAK046200col_DHR_BY</vt:lpstr>
      <vt:lpstr>ADAK046200col_DHR_CHG</vt:lpstr>
      <vt:lpstr>ADAK046200col_FTI_SALARY_ELECT</vt:lpstr>
      <vt:lpstr>ADAK046200col_FTI_SALARY_PERM</vt:lpstr>
      <vt:lpstr>ADAK046200col_FTI_SALARY_SSDI</vt:lpstr>
      <vt:lpstr>ADAK046200col_Group_Ben</vt:lpstr>
      <vt:lpstr>ADAK046200col_Group_Salary</vt:lpstr>
      <vt:lpstr>ADAK046200col_HEALTH_ELECT</vt:lpstr>
      <vt:lpstr>ADAK046200col_HEALTH_ELECT_BY</vt:lpstr>
      <vt:lpstr>ADAK046200col_HEALTH_ELECT_CHG</vt:lpstr>
      <vt:lpstr>ADAK046200col_HEALTH_PERM</vt:lpstr>
      <vt:lpstr>ADAK046200col_HEALTH_PERM_BY</vt:lpstr>
      <vt:lpstr>ADAK046200col_HEALTH_PERM_CHG</vt:lpstr>
      <vt:lpstr>ADAK046200col_INC_FTI</vt:lpstr>
      <vt:lpstr>ADAK046200col_LIFE_INS</vt:lpstr>
      <vt:lpstr>ADAK046200col_LIFE_INS_BY</vt:lpstr>
      <vt:lpstr>ADAK046200col_LIFE_INS_CHG</vt:lpstr>
      <vt:lpstr>ADAK046200col_RETIREMENT</vt:lpstr>
      <vt:lpstr>ADAK046200col_RETIREMENT_BY</vt:lpstr>
      <vt:lpstr>ADAK046200col_RETIREMENT_CHG</vt:lpstr>
      <vt:lpstr>ADAK046200col_ROWS_PER_PCN</vt:lpstr>
      <vt:lpstr>ADAK046200col_SICK</vt:lpstr>
      <vt:lpstr>ADAK046200col_SICK_BY</vt:lpstr>
      <vt:lpstr>ADAK046200col_SICK_CHG</vt:lpstr>
      <vt:lpstr>ADAK046200col_SSDI</vt:lpstr>
      <vt:lpstr>ADAK046200col_SSDI_BY</vt:lpstr>
      <vt:lpstr>ADAK046200col_SSDI_CHG</vt:lpstr>
      <vt:lpstr>ADAK046200col_SSHI</vt:lpstr>
      <vt:lpstr>ADAK046200col_SSHI_BY</vt:lpstr>
      <vt:lpstr>ADAK046200col_SSHI_CHGv</vt:lpstr>
      <vt:lpstr>ADAK046200col_TOT_VB_ELECT</vt:lpstr>
      <vt:lpstr>ADAK046200col_TOT_VB_ELECT_BY</vt:lpstr>
      <vt:lpstr>ADAK046200col_TOT_VB_ELECT_CHG</vt:lpstr>
      <vt:lpstr>ADAK046200col_TOT_VB_PERM</vt:lpstr>
      <vt:lpstr>ADAK046200col_TOT_VB_PERM_BY</vt:lpstr>
      <vt:lpstr>ADAK046200col_TOT_VB_PERM_CHG</vt:lpstr>
      <vt:lpstr>ADAK046200col_TOTAL_ELECT_PCN_FTI</vt:lpstr>
      <vt:lpstr>ADAK046200col_TOTAL_ELECT_PCN_FTI_ALT</vt:lpstr>
      <vt:lpstr>ADAK046200col_TOTAL_PERM_PCN_FTI</vt:lpstr>
      <vt:lpstr>ADAK046200col_UNEMP_INS</vt:lpstr>
      <vt:lpstr>ADAK046200col_UNEMP_INS_BY</vt:lpstr>
      <vt:lpstr>ADAK046200col_UNEMP_INS_CHG</vt:lpstr>
      <vt:lpstr>ADAK046200col_WORKERS_COMP</vt:lpstr>
      <vt:lpstr>ADAK046200col_WORKERS_COMP_BY</vt:lpstr>
      <vt:lpstr>ADAK046200col_WORKERS_COMP_CHG</vt:lpstr>
      <vt:lpstr>ADAK051900col_1_27TH_PP</vt:lpstr>
      <vt:lpstr>ADAK051900col_DHR</vt:lpstr>
      <vt:lpstr>ADAK051900col_DHR_BY</vt:lpstr>
      <vt:lpstr>ADAK051900col_DHR_CHG</vt:lpstr>
      <vt:lpstr>ADAK051900col_FTI_SALARY_ELECT</vt:lpstr>
      <vt:lpstr>ADAK051900col_FTI_SALARY_PERM</vt:lpstr>
      <vt:lpstr>ADAK051900col_FTI_SALARY_SSDI</vt:lpstr>
      <vt:lpstr>ADAK051900col_Group_Ben</vt:lpstr>
      <vt:lpstr>ADAK051900col_Group_Salary</vt:lpstr>
      <vt:lpstr>ADAK051900col_HEALTH_ELECT</vt:lpstr>
      <vt:lpstr>ADAK051900col_HEALTH_ELECT_BY</vt:lpstr>
      <vt:lpstr>ADAK051900col_HEALTH_ELECT_CHG</vt:lpstr>
      <vt:lpstr>ADAK051900col_HEALTH_PERM</vt:lpstr>
      <vt:lpstr>ADAK051900col_HEALTH_PERM_BY</vt:lpstr>
      <vt:lpstr>ADAK051900col_HEALTH_PERM_CHG</vt:lpstr>
      <vt:lpstr>ADAK051900col_INC_FTI</vt:lpstr>
      <vt:lpstr>ADAK051900col_LIFE_INS</vt:lpstr>
      <vt:lpstr>ADAK051900col_LIFE_INS_BY</vt:lpstr>
      <vt:lpstr>ADAK051900col_LIFE_INS_CHG</vt:lpstr>
      <vt:lpstr>ADAK051900col_RETIREMENT</vt:lpstr>
      <vt:lpstr>ADAK051900col_RETIREMENT_BY</vt:lpstr>
      <vt:lpstr>ADAK051900col_RETIREMENT_CHG</vt:lpstr>
      <vt:lpstr>ADAK051900col_ROWS_PER_PCN</vt:lpstr>
      <vt:lpstr>ADAK051900col_SICK</vt:lpstr>
      <vt:lpstr>ADAK051900col_SICK_BY</vt:lpstr>
      <vt:lpstr>ADAK051900col_SICK_CHG</vt:lpstr>
      <vt:lpstr>ADAK051900col_SSDI</vt:lpstr>
      <vt:lpstr>ADAK051900col_SSDI_BY</vt:lpstr>
      <vt:lpstr>ADAK051900col_SSDI_CHG</vt:lpstr>
      <vt:lpstr>ADAK051900col_SSHI</vt:lpstr>
      <vt:lpstr>ADAK051900col_SSHI_BY</vt:lpstr>
      <vt:lpstr>ADAK051900col_SSHI_CHGv</vt:lpstr>
      <vt:lpstr>ADAK051900col_TOT_VB_ELECT</vt:lpstr>
      <vt:lpstr>ADAK051900col_TOT_VB_ELECT_BY</vt:lpstr>
      <vt:lpstr>ADAK051900col_TOT_VB_ELECT_CHG</vt:lpstr>
      <vt:lpstr>ADAK051900col_TOT_VB_PERM</vt:lpstr>
      <vt:lpstr>ADAK051900col_TOT_VB_PERM_BY</vt:lpstr>
      <vt:lpstr>ADAK051900col_TOT_VB_PERM_CHG</vt:lpstr>
      <vt:lpstr>ADAK051900col_TOTAL_ELECT_PCN_FTI</vt:lpstr>
      <vt:lpstr>ADAK051900col_TOTAL_ELECT_PCN_FTI_ALT</vt:lpstr>
      <vt:lpstr>ADAK051900col_TOTAL_PERM_PCN_FTI</vt:lpstr>
      <vt:lpstr>ADAK051900col_UNEMP_INS</vt:lpstr>
      <vt:lpstr>ADAK051900col_UNEMP_INS_BY</vt:lpstr>
      <vt:lpstr>ADAK051900col_UNEMP_INS_CHG</vt:lpstr>
      <vt:lpstr>ADAK051900col_WORKERS_COMP</vt:lpstr>
      <vt:lpstr>ADAK051900col_WORKERS_COMP_BY</vt:lpstr>
      <vt:lpstr>ADAK051900col_WORKERS_COMP_CHG</vt:lpstr>
      <vt:lpstr>ADAM000100col_1_27TH_PP</vt:lpstr>
      <vt:lpstr>ADAM000100col_DHR</vt:lpstr>
      <vt:lpstr>ADAM000100col_DHR_BY</vt:lpstr>
      <vt:lpstr>ADAM000100col_DHR_CHG</vt:lpstr>
      <vt:lpstr>ADAM000100col_FTI_SALARY_ELECT</vt:lpstr>
      <vt:lpstr>ADAM000100col_FTI_SALARY_PERM</vt:lpstr>
      <vt:lpstr>ADAM000100col_FTI_SALARY_SSDI</vt:lpstr>
      <vt:lpstr>ADAM000100col_Group_Ben</vt:lpstr>
      <vt:lpstr>ADAM000100col_Group_Salary</vt:lpstr>
      <vt:lpstr>ADAM000100col_HEALTH_ELECT</vt:lpstr>
      <vt:lpstr>ADAM000100col_HEALTH_ELECT_BY</vt:lpstr>
      <vt:lpstr>ADAM000100col_HEALTH_ELECT_CHG</vt:lpstr>
      <vt:lpstr>ADAM000100col_HEALTH_PERM</vt:lpstr>
      <vt:lpstr>ADAM000100col_HEALTH_PERM_BY</vt:lpstr>
      <vt:lpstr>ADAM000100col_HEALTH_PERM_CHG</vt:lpstr>
      <vt:lpstr>ADAM000100col_INC_FTI</vt:lpstr>
      <vt:lpstr>ADAM000100col_LIFE_INS</vt:lpstr>
      <vt:lpstr>ADAM000100col_LIFE_INS_BY</vt:lpstr>
      <vt:lpstr>ADAM000100col_LIFE_INS_CHG</vt:lpstr>
      <vt:lpstr>ADAM000100col_RETIREMENT</vt:lpstr>
      <vt:lpstr>ADAM000100col_RETIREMENT_BY</vt:lpstr>
      <vt:lpstr>ADAM000100col_RETIREMENT_CHG</vt:lpstr>
      <vt:lpstr>ADAM000100col_ROWS_PER_PCN</vt:lpstr>
      <vt:lpstr>ADAM000100col_SICK</vt:lpstr>
      <vt:lpstr>ADAM000100col_SICK_BY</vt:lpstr>
      <vt:lpstr>ADAM000100col_SICK_CHG</vt:lpstr>
      <vt:lpstr>ADAM000100col_SSDI</vt:lpstr>
      <vt:lpstr>ADAM000100col_SSDI_BY</vt:lpstr>
      <vt:lpstr>ADAM000100col_SSDI_CHG</vt:lpstr>
      <vt:lpstr>ADAM000100col_SSHI</vt:lpstr>
      <vt:lpstr>ADAM000100col_SSHI_BY</vt:lpstr>
      <vt:lpstr>ADAM000100col_SSHI_CHGv</vt:lpstr>
      <vt:lpstr>ADAM000100col_TOT_VB_ELECT</vt:lpstr>
      <vt:lpstr>ADAM000100col_TOT_VB_ELECT_BY</vt:lpstr>
      <vt:lpstr>ADAM000100col_TOT_VB_ELECT_CHG</vt:lpstr>
      <vt:lpstr>ADAM000100col_TOT_VB_PERM</vt:lpstr>
      <vt:lpstr>ADAM000100col_TOT_VB_PERM_BY</vt:lpstr>
      <vt:lpstr>ADAM000100col_TOT_VB_PERM_CHG</vt:lpstr>
      <vt:lpstr>ADAM000100col_TOTAL_ELECT_PCN_FTI</vt:lpstr>
      <vt:lpstr>ADAM000100col_TOTAL_ELECT_PCN_FTI_ALT</vt:lpstr>
      <vt:lpstr>ADAM000100col_TOTAL_PERM_PCN_FTI</vt:lpstr>
      <vt:lpstr>ADAM000100col_UNEMP_INS</vt:lpstr>
      <vt:lpstr>ADAM000100col_UNEMP_INS_BY</vt:lpstr>
      <vt:lpstr>ADAM000100col_UNEMP_INS_CHG</vt:lpstr>
      <vt:lpstr>ADAM000100col_WORKERS_COMP</vt:lpstr>
      <vt:lpstr>ADAM000100col_WORKERS_COMP_BY</vt:lpstr>
      <vt:lpstr>ADAM000100col_WORKERS_COMP_CHG</vt:lpstr>
      <vt:lpstr>ADAM045000col_1_27TH_PP</vt:lpstr>
      <vt:lpstr>ADAM045000col_DHR</vt:lpstr>
      <vt:lpstr>ADAM045000col_DHR_BY</vt:lpstr>
      <vt:lpstr>ADAM045000col_DHR_CHG</vt:lpstr>
      <vt:lpstr>ADAM045000col_FTI_SALARY_ELECT</vt:lpstr>
      <vt:lpstr>ADAM045000col_FTI_SALARY_PERM</vt:lpstr>
      <vt:lpstr>ADAM045000col_FTI_SALARY_SSDI</vt:lpstr>
      <vt:lpstr>ADAM045000col_Group_Ben</vt:lpstr>
      <vt:lpstr>ADAM045000col_Group_Salary</vt:lpstr>
      <vt:lpstr>ADAM045000col_HEALTH_ELECT</vt:lpstr>
      <vt:lpstr>ADAM045000col_HEALTH_ELECT_BY</vt:lpstr>
      <vt:lpstr>ADAM045000col_HEALTH_ELECT_CHG</vt:lpstr>
      <vt:lpstr>ADAM045000col_HEALTH_PERM</vt:lpstr>
      <vt:lpstr>ADAM045000col_HEALTH_PERM_BY</vt:lpstr>
      <vt:lpstr>ADAM045000col_HEALTH_PERM_CHG</vt:lpstr>
      <vt:lpstr>ADAM045000col_INC_FTI</vt:lpstr>
      <vt:lpstr>ADAM045000col_LIFE_INS</vt:lpstr>
      <vt:lpstr>ADAM045000col_LIFE_INS_BY</vt:lpstr>
      <vt:lpstr>ADAM045000col_LIFE_INS_CHG</vt:lpstr>
      <vt:lpstr>ADAM045000col_RETIREMENT</vt:lpstr>
      <vt:lpstr>ADAM045000col_RETIREMENT_BY</vt:lpstr>
      <vt:lpstr>ADAM045000col_RETIREMENT_CHG</vt:lpstr>
      <vt:lpstr>ADAM045000col_ROWS_PER_PCN</vt:lpstr>
      <vt:lpstr>ADAM045000col_SICK</vt:lpstr>
      <vt:lpstr>ADAM045000col_SICK_BY</vt:lpstr>
      <vt:lpstr>ADAM045000col_SICK_CHG</vt:lpstr>
      <vt:lpstr>ADAM045000col_SSDI</vt:lpstr>
      <vt:lpstr>ADAM045000col_SSDI_BY</vt:lpstr>
      <vt:lpstr>ADAM045000col_SSDI_CHG</vt:lpstr>
      <vt:lpstr>ADAM045000col_SSHI</vt:lpstr>
      <vt:lpstr>ADAM045000col_SSHI_BY</vt:lpstr>
      <vt:lpstr>ADAM045000col_SSHI_CHGv</vt:lpstr>
      <vt:lpstr>ADAM045000col_TOT_VB_ELECT</vt:lpstr>
      <vt:lpstr>ADAM045000col_TOT_VB_ELECT_BY</vt:lpstr>
      <vt:lpstr>ADAM045000col_TOT_VB_ELECT_CHG</vt:lpstr>
      <vt:lpstr>ADAM045000col_TOT_VB_PERM</vt:lpstr>
      <vt:lpstr>ADAM045000col_TOT_VB_PERM_BY</vt:lpstr>
      <vt:lpstr>ADAM045000col_TOT_VB_PERM_CHG</vt:lpstr>
      <vt:lpstr>ADAM045000col_TOTAL_ELECT_PCN_FTI</vt:lpstr>
      <vt:lpstr>ADAM045000col_TOTAL_ELECT_PCN_FTI_ALT</vt:lpstr>
      <vt:lpstr>ADAM045000col_TOTAL_PERM_PCN_FTI</vt:lpstr>
      <vt:lpstr>ADAM045000col_UNEMP_INS</vt:lpstr>
      <vt:lpstr>ADAM045000col_UNEMP_INS_BY</vt:lpstr>
      <vt:lpstr>ADAM045000col_UNEMP_INS_CHG</vt:lpstr>
      <vt:lpstr>ADAM045000col_WORKERS_COMP</vt:lpstr>
      <vt:lpstr>ADAM045000col_WORKERS_COMP_BY</vt:lpstr>
      <vt:lpstr>ADAM045000col_WORKERS_COMP_CHG</vt:lpstr>
      <vt:lpstr>ADAN045600col_1_27TH_PP</vt:lpstr>
      <vt:lpstr>ADAN045600col_DHR</vt:lpstr>
      <vt:lpstr>ADAN045600col_DHR_BY</vt:lpstr>
      <vt:lpstr>ADAN045600col_DHR_CHG</vt:lpstr>
      <vt:lpstr>ADAN045600col_FTI_SALARY_ELECT</vt:lpstr>
      <vt:lpstr>ADAN045600col_FTI_SALARY_PERM</vt:lpstr>
      <vt:lpstr>ADAN045600col_FTI_SALARY_SSDI</vt:lpstr>
      <vt:lpstr>ADAN045600col_Group_Ben</vt:lpstr>
      <vt:lpstr>ADAN045600col_Group_Salary</vt:lpstr>
      <vt:lpstr>ADAN045600col_HEALTH_ELECT</vt:lpstr>
      <vt:lpstr>ADAN045600col_HEALTH_ELECT_BY</vt:lpstr>
      <vt:lpstr>ADAN045600col_HEALTH_ELECT_CHG</vt:lpstr>
      <vt:lpstr>ADAN045600col_HEALTH_PERM</vt:lpstr>
      <vt:lpstr>ADAN045600col_HEALTH_PERM_BY</vt:lpstr>
      <vt:lpstr>ADAN045600col_HEALTH_PERM_CHG</vt:lpstr>
      <vt:lpstr>ADAN045600col_INC_FTI</vt:lpstr>
      <vt:lpstr>ADAN045600col_LIFE_INS</vt:lpstr>
      <vt:lpstr>ADAN045600col_LIFE_INS_BY</vt:lpstr>
      <vt:lpstr>ADAN045600col_LIFE_INS_CHG</vt:lpstr>
      <vt:lpstr>ADAN045600col_RETIREMENT</vt:lpstr>
      <vt:lpstr>ADAN045600col_RETIREMENT_BY</vt:lpstr>
      <vt:lpstr>ADAN045600col_RETIREMENT_CHG</vt:lpstr>
      <vt:lpstr>ADAN045600col_ROWS_PER_PCN</vt:lpstr>
      <vt:lpstr>ADAN045600col_SICK</vt:lpstr>
      <vt:lpstr>ADAN045600col_SICK_BY</vt:lpstr>
      <vt:lpstr>ADAN045600col_SICK_CHG</vt:lpstr>
      <vt:lpstr>ADAN045600col_SSDI</vt:lpstr>
      <vt:lpstr>ADAN045600col_SSDI_BY</vt:lpstr>
      <vt:lpstr>ADAN045600col_SSDI_CHG</vt:lpstr>
      <vt:lpstr>ADAN045600col_SSHI</vt:lpstr>
      <vt:lpstr>ADAN045600col_SSHI_BY</vt:lpstr>
      <vt:lpstr>ADAN045600col_SSHI_CHGv</vt:lpstr>
      <vt:lpstr>ADAN045600col_TOT_VB_ELECT</vt:lpstr>
      <vt:lpstr>ADAN045600col_TOT_VB_ELECT_BY</vt:lpstr>
      <vt:lpstr>ADAN045600col_TOT_VB_ELECT_CHG</vt:lpstr>
      <vt:lpstr>ADAN045600col_TOT_VB_PERM</vt:lpstr>
      <vt:lpstr>ADAN045600col_TOT_VB_PERM_BY</vt:lpstr>
      <vt:lpstr>ADAN045600col_TOT_VB_PERM_CHG</vt:lpstr>
      <vt:lpstr>ADAN045600col_TOTAL_ELECT_PCN_FTI</vt:lpstr>
      <vt:lpstr>ADAN045600col_TOTAL_ELECT_PCN_FTI_ALT</vt:lpstr>
      <vt:lpstr>ADAN045600col_TOTAL_PERM_PCN_FTI</vt:lpstr>
      <vt:lpstr>ADAN045600col_UNEMP_INS</vt:lpstr>
      <vt:lpstr>ADAN045600col_UNEMP_INS_BY</vt:lpstr>
      <vt:lpstr>ADAN045600col_UNEMP_INS_CHG</vt:lpstr>
      <vt:lpstr>ADAN045600col_WORKERS_COMP</vt:lpstr>
      <vt:lpstr>ADAN045600col_WORKERS_COMP_BY</vt:lpstr>
      <vt:lpstr>ADAN045600col_WORKERS_COMP_CHG</vt:lpstr>
      <vt:lpstr>ADAN046100col_1_27TH_PP</vt:lpstr>
      <vt:lpstr>ADAN046100col_DHR</vt:lpstr>
      <vt:lpstr>ADAN046100col_DHR_BY</vt:lpstr>
      <vt:lpstr>ADAN046100col_DHR_CHG</vt:lpstr>
      <vt:lpstr>ADAN046100col_FTI_SALARY_ELECT</vt:lpstr>
      <vt:lpstr>ADAN046100col_FTI_SALARY_PERM</vt:lpstr>
      <vt:lpstr>ADAN046100col_FTI_SALARY_SSDI</vt:lpstr>
      <vt:lpstr>ADAN046100col_Group_Ben</vt:lpstr>
      <vt:lpstr>ADAN046100col_Group_Salary</vt:lpstr>
      <vt:lpstr>ADAN046100col_HEALTH_ELECT</vt:lpstr>
      <vt:lpstr>ADAN046100col_HEALTH_ELECT_BY</vt:lpstr>
      <vt:lpstr>ADAN046100col_HEALTH_ELECT_CHG</vt:lpstr>
      <vt:lpstr>ADAN046100col_HEALTH_PERM</vt:lpstr>
      <vt:lpstr>ADAN046100col_HEALTH_PERM_BY</vt:lpstr>
      <vt:lpstr>ADAN046100col_HEALTH_PERM_CHG</vt:lpstr>
      <vt:lpstr>ADAN046100col_INC_FTI</vt:lpstr>
      <vt:lpstr>ADAN046100col_LIFE_INS</vt:lpstr>
      <vt:lpstr>ADAN046100col_LIFE_INS_BY</vt:lpstr>
      <vt:lpstr>ADAN046100col_LIFE_INS_CHG</vt:lpstr>
      <vt:lpstr>ADAN046100col_RETIREMENT</vt:lpstr>
      <vt:lpstr>ADAN046100col_RETIREMENT_BY</vt:lpstr>
      <vt:lpstr>ADAN046100col_RETIREMENT_CHG</vt:lpstr>
      <vt:lpstr>ADAN046100col_ROWS_PER_PCN</vt:lpstr>
      <vt:lpstr>ADAN046100col_SICK</vt:lpstr>
      <vt:lpstr>ADAN046100col_SICK_BY</vt:lpstr>
      <vt:lpstr>ADAN046100col_SICK_CHG</vt:lpstr>
      <vt:lpstr>ADAN046100col_SSDI</vt:lpstr>
      <vt:lpstr>ADAN046100col_SSDI_BY</vt:lpstr>
      <vt:lpstr>ADAN046100col_SSDI_CHG</vt:lpstr>
      <vt:lpstr>ADAN046100col_SSHI</vt:lpstr>
      <vt:lpstr>ADAN046100col_SSHI_BY</vt:lpstr>
      <vt:lpstr>ADAN046100col_SSHI_CHGv</vt:lpstr>
      <vt:lpstr>ADAN046100col_TOT_VB_ELECT</vt:lpstr>
      <vt:lpstr>ADAN046100col_TOT_VB_ELECT_BY</vt:lpstr>
      <vt:lpstr>ADAN046100col_TOT_VB_ELECT_CHG</vt:lpstr>
      <vt:lpstr>ADAN046100col_TOT_VB_PERM</vt:lpstr>
      <vt:lpstr>ADAN046100col_TOT_VB_PERM_BY</vt:lpstr>
      <vt:lpstr>ADAN046100col_TOT_VB_PERM_CHG</vt:lpstr>
      <vt:lpstr>ADAN046100col_TOTAL_ELECT_PCN_FTI</vt:lpstr>
      <vt:lpstr>ADAN046100col_TOTAL_ELECT_PCN_FTI_ALT</vt:lpstr>
      <vt:lpstr>ADAN046100col_TOTAL_PERM_PCN_FTI</vt:lpstr>
      <vt:lpstr>ADAN046100col_UNEMP_INS</vt:lpstr>
      <vt:lpstr>ADAN046100col_UNEMP_INS_BY</vt:lpstr>
      <vt:lpstr>ADAN046100col_UNEMP_INS_CHG</vt:lpstr>
      <vt:lpstr>ADAN046100col_WORKERS_COMP</vt:lpstr>
      <vt:lpstr>ADAN046100col_WORKERS_COMP_BY</vt:lpstr>
      <vt:lpstr>ADAN046100col_WORKERS_COMP_CHG</vt:lpstr>
      <vt:lpstr>ADAN046200col_1_27TH_PP</vt:lpstr>
      <vt:lpstr>ADAN046200col_DHR</vt:lpstr>
      <vt:lpstr>ADAN046200col_DHR_BY</vt:lpstr>
      <vt:lpstr>ADAN046200col_DHR_CHG</vt:lpstr>
      <vt:lpstr>ADAN046200col_FTI_SALARY_ELECT</vt:lpstr>
      <vt:lpstr>ADAN046200col_FTI_SALARY_PERM</vt:lpstr>
      <vt:lpstr>ADAN046200col_FTI_SALARY_SSDI</vt:lpstr>
      <vt:lpstr>ADAN046200col_Group_Ben</vt:lpstr>
      <vt:lpstr>ADAN046200col_Group_Salary</vt:lpstr>
      <vt:lpstr>ADAN046200col_HEALTH_ELECT</vt:lpstr>
      <vt:lpstr>ADAN046200col_HEALTH_ELECT_BY</vt:lpstr>
      <vt:lpstr>ADAN046200col_HEALTH_ELECT_CHG</vt:lpstr>
      <vt:lpstr>ADAN046200col_HEALTH_PERM</vt:lpstr>
      <vt:lpstr>ADAN046200col_HEALTH_PERM_BY</vt:lpstr>
      <vt:lpstr>ADAN046200col_HEALTH_PERM_CHG</vt:lpstr>
      <vt:lpstr>ADAN046200col_INC_FTI</vt:lpstr>
      <vt:lpstr>ADAN046200col_LIFE_INS</vt:lpstr>
      <vt:lpstr>ADAN046200col_LIFE_INS_BY</vt:lpstr>
      <vt:lpstr>ADAN046200col_LIFE_INS_CHG</vt:lpstr>
      <vt:lpstr>ADAN046200col_RETIREMENT</vt:lpstr>
      <vt:lpstr>ADAN046200col_RETIREMENT_BY</vt:lpstr>
      <vt:lpstr>ADAN046200col_RETIREMENT_CHG</vt:lpstr>
      <vt:lpstr>ADAN046200col_ROWS_PER_PCN</vt:lpstr>
      <vt:lpstr>ADAN046200col_SICK</vt:lpstr>
      <vt:lpstr>ADAN046200col_SICK_BY</vt:lpstr>
      <vt:lpstr>ADAN046200col_SICK_CHG</vt:lpstr>
      <vt:lpstr>ADAN046200col_SSDI</vt:lpstr>
      <vt:lpstr>ADAN046200col_SSDI_BY</vt:lpstr>
      <vt:lpstr>ADAN046200col_SSDI_CHG</vt:lpstr>
      <vt:lpstr>ADAN046200col_SSHI</vt:lpstr>
      <vt:lpstr>ADAN046200col_SSHI_BY</vt:lpstr>
      <vt:lpstr>ADAN046200col_SSHI_CHGv</vt:lpstr>
      <vt:lpstr>ADAN046200col_TOT_VB_ELECT</vt:lpstr>
      <vt:lpstr>ADAN046200col_TOT_VB_ELECT_BY</vt:lpstr>
      <vt:lpstr>ADAN046200col_TOT_VB_ELECT_CHG</vt:lpstr>
      <vt:lpstr>ADAN046200col_TOT_VB_PERM</vt:lpstr>
      <vt:lpstr>ADAN046200col_TOT_VB_PERM_BY</vt:lpstr>
      <vt:lpstr>ADAN046200col_TOT_VB_PERM_CHG</vt:lpstr>
      <vt:lpstr>ADAN046200col_TOTAL_ELECT_PCN_FTI</vt:lpstr>
      <vt:lpstr>ADAN046200col_TOTAL_ELECT_PCN_FTI_ALT</vt:lpstr>
      <vt:lpstr>ADAN046200col_TOTAL_PERM_PCN_FTI</vt:lpstr>
      <vt:lpstr>ADAN046200col_UNEMP_INS</vt:lpstr>
      <vt:lpstr>ADAN046200col_UNEMP_INS_BY</vt:lpstr>
      <vt:lpstr>ADAN046200col_UNEMP_INS_CHG</vt:lpstr>
      <vt:lpstr>ADAN046200col_WORKERS_COMP</vt:lpstr>
      <vt:lpstr>ADAN046200col_WORKERS_COMP_BY</vt:lpstr>
      <vt:lpstr>ADAN046200col_WORKERS_COMP_CHG</vt:lpstr>
      <vt:lpstr>'ADAA|0001-00'!AdjGroupHlth</vt:lpstr>
      <vt:lpstr>'ADAA|0365-00'!AdjGroupHlth</vt:lpstr>
      <vt:lpstr>'ADAA|0450-00'!AdjGroupHlth</vt:lpstr>
      <vt:lpstr>'ADAA|0519-00'!AdjGroupHlth</vt:lpstr>
      <vt:lpstr>'ADAC|0365-00'!AdjGroupHlth</vt:lpstr>
      <vt:lpstr>'ADAC|0450-00'!AdjGroupHlth</vt:lpstr>
      <vt:lpstr>'ADAD|0450-00'!AdjGroupHlth</vt:lpstr>
      <vt:lpstr>'ADAD|0456-00'!AdjGroupHlth</vt:lpstr>
      <vt:lpstr>'ADAK|0461-00'!AdjGroupHlth</vt:lpstr>
      <vt:lpstr>'ADAK|0462-00'!AdjGroupHlth</vt:lpstr>
      <vt:lpstr>'ADAK|0519-00'!AdjGroupHlth</vt:lpstr>
      <vt:lpstr>'ADAM|0001-00'!AdjGroupHlth</vt:lpstr>
      <vt:lpstr>'ADAM|0450-00'!AdjGroupHlth</vt:lpstr>
      <vt:lpstr>'ADAN|0456-00'!AdjGroupHlth</vt:lpstr>
      <vt:lpstr>'ADAN|0461-00'!AdjGroupHlth</vt:lpstr>
      <vt:lpstr>'ADAN|0462-00'!AdjGroupHlth</vt:lpstr>
      <vt:lpstr>AdjGroupHlth</vt:lpstr>
      <vt:lpstr>'ADAA|0001-00'!AdjGroupSalary</vt:lpstr>
      <vt:lpstr>'ADAA|0365-00'!AdjGroupSalary</vt:lpstr>
      <vt:lpstr>'ADAA|0450-00'!AdjGroupSalary</vt:lpstr>
      <vt:lpstr>'ADAA|0519-00'!AdjGroupSalary</vt:lpstr>
      <vt:lpstr>'ADAC|0365-00'!AdjGroupSalary</vt:lpstr>
      <vt:lpstr>'ADAC|0450-00'!AdjGroupSalary</vt:lpstr>
      <vt:lpstr>'ADAD|0450-00'!AdjGroupSalary</vt:lpstr>
      <vt:lpstr>'ADAD|0456-00'!AdjGroupSalary</vt:lpstr>
      <vt:lpstr>'ADAK|0461-00'!AdjGroupSalary</vt:lpstr>
      <vt:lpstr>'ADAK|0462-00'!AdjGroupSalary</vt:lpstr>
      <vt:lpstr>'ADAK|0519-00'!AdjGroupSalary</vt:lpstr>
      <vt:lpstr>'ADAM|0001-00'!AdjGroupSalary</vt:lpstr>
      <vt:lpstr>'ADAM|0450-00'!AdjGroupSalary</vt:lpstr>
      <vt:lpstr>'ADAN|0456-00'!AdjGroupSalary</vt:lpstr>
      <vt:lpstr>'ADAN|0461-00'!AdjGroupSalary</vt:lpstr>
      <vt:lpstr>'ADAN|0462-00'!AdjGroupSalary</vt:lpstr>
      <vt:lpstr>AdjGroupSalary</vt:lpstr>
      <vt:lpstr>'ADAA|0001-00'!AdjGroupVB</vt:lpstr>
      <vt:lpstr>'ADAA|0365-00'!AdjGroupVB</vt:lpstr>
      <vt:lpstr>'ADAA|0450-00'!AdjGroupVB</vt:lpstr>
      <vt:lpstr>'ADAA|0519-00'!AdjGroupVB</vt:lpstr>
      <vt:lpstr>'ADAC|0365-00'!AdjGroupVB</vt:lpstr>
      <vt:lpstr>'ADAC|0450-00'!AdjGroupVB</vt:lpstr>
      <vt:lpstr>'ADAD|0450-00'!AdjGroupVB</vt:lpstr>
      <vt:lpstr>'ADAD|0456-00'!AdjGroupVB</vt:lpstr>
      <vt:lpstr>'ADAK|0461-00'!AdjGroupVB</vt:lpstr>
      <vt:lpstr>'ADAK|0462-00'!AdjGroupVB</vt:lpstr>
      <vt:lpstr>'ADAK|0519-00'!AdjGroupVB</vt:lpstr>
      <vt:lpstr>'ADAM|0001-00'!AdjGroupVB</vt:lpstr>
      <vt:lpstr>'ADAM|0450-00'!AdjGroupVB</vt:lpstr>
      <vt:lpstr>'ADAN|0456-00'!AdjGroupVB</vt:lpstr>
      <vt:lpstr>'ADAN|0461-00'!AdjGroupVB</vt:lpstr>
      <vt:lpstr>'ADAN|0462-00'!AdjGroupVB</vt:lpstr>
      <vt:lpstr>AdjGroupVB</vt:lpstr>
      <vt:lpstr>'ADAA|0001-00'!AdjGroupVBBY</vt:lpstr>
      <vt:lpstr>'ADAA|0365-00'!AdjGroupVBBY</vt:lpstr>
      <vt:lpstr>'ADAA|0450-00'!AdjGroupVBBY</vt:lpstr>
      <vt:lpstr>'ADAA|0519-00'!AdjGroupVBBY</vt:lpstr>
      <vt:lpstr>'ADAC|0365-00'!AdjGroupVBBY</vt:lpstr>
      <vt:lpstr>'ADAC|0450-00'!AdjGroupVBBY</vt:lpstr>
      <vt:lpstr>'ADAD|0450-00'!AdjGroupVBBY</vt:lpstr>
      <vt:lpstr>'ADAD|0456-00'!AdjGroupVBBY</vt:lpstr>
      <vt:lpstr>'ADAK|0461-00'!AdjGroupVBBY</vt:lpstr>
      <vt:lpstr>'ADAK|0462-00'!AdjGroupVBBY</vt:lpstr>
      <vt:lpstr>'ADAK|0519-00'!AdjGroupVBBY</vt:lpstr>
      <vt:lpstr>'ADAM|0001-00'!AdjGroupVBBY</vt:lpstr>
      <vt:lpstr>'ADAM|0450-00'!AdjGroupVBBY</vt:lpstr>
      <vt:lpstr>'ADAN|0456-00'!AdjGroupVBBY</vt:lpstr>
      <vt:lpstr>'ADAN|0461-00'!AdjGroupVBBY</vt:lpstr>
      <vt:lpstr>'ADAN|0462-00'!AdjGroupVBBY</vt:lpstr>
      <vt:lpstr>AdjGroupVBBY</vt:lpstr>
      <vt:lpstr>'ADAA|0001-00'!AdjPermHlth</vt:lpstr>
      <vt:lpstr>'ADAA|0365-00'!AdjPermHlth</vt:lpstr>
      <vt:lpstr>'ADAA|0450-00'!AdjPermHlth</vt:lpstr>
      <vt:lpstr>'ADAA|0519-00'!AdjPermHlth</vt:lpstr>
      <vt:lpstr>'ADAC|0365-00'!AdjPermHlth</vt:lpstr>
      <vt:lpstr>'ADAC|0450-00'!AdjPermHlth</vt:lpstr>
      <vt:lpstr>'ADAD|0450-00'!AdjPermHlth</vt:lpstr>
      <vt:lpstr>'ADAD|0456-00'!AdjPermHlth</vt:lpstr>
      <vt:lpstr>'ADAK|0461-00'!AdjPermHlth</vt:lpstr>
      <vt:lpstr>'ADAK|0462-00'!AdjPermHlth</vt:lpstr>
      <vt:lpstr>'ADAK|0519-00'!AdjPermHlth</vt:lpstr>
      <vt:lpstr>'ADAM|0001-00'!AdjPermHlth</vt:lpstr>
      <vt:lpstr>'ADAM|0450-00'!AdjPermHlth</vt:lpstr>
      <vt:lpstr>'ADAN|0456-00'!AdjPermHlth</vt:lpstr>
      <vt:lpstr>'ADAN|0461-00'!AdjPermHlth</vt:lpstr>
      <vt:lpstr>'ADAN|0462-00'!AdjPermHlth</vt:lpstr>
      <vt:lpstr>AdjPermHlth</vt:lpstr>
      <vt:lpstr>'ADAA|0001-00'!AdjPermHlthBY</vt:lpstr>
      <vt:lpstr>'ADAA|0365-00'!AdjPermHlthBY</vt:lpstr>
      <vt:lpstr>'ADAA|0450-00'!AdjPermHlthBY</vt:lpstr>
      <vt:lpstr>'ADAA|0519-00'!AdjPermHlthBY</vt:lpstr>
      <vt:lpstr>'ADAC|0365-00'!AdjPermHlthBY</vt:lpstr>
      <vt:lpstr>'ADAC|0450-00'!AdjPermHlthBY</vt:lpstr>
      <vt:lpstr>'ADAD|0450-00'!AdjPermHlthBY</vt:lpstr>
      <vt:lpstr>'ADAD|0456-00'!AdjPermHlthBY</vt:lpstr>
      <vt:lpstr>'ADAK|0461-00'!AdjPermHlthBY</vt:lpstr>
      <vt:lpstr>'ADAK|0462-00'!AdjPermHlthBY</vt:lpstr>
      <vt:lpstr>'ADAK|0519-00'!AdjPermHlthBY</vt:lpstr>
      <vt:lpstr>'ADAM|0001-00'!AdjPermHlthBY</vt:lpstr>
      <vt:lpstr>'ADAM|0450-00'!AdjPermHlthBY</vt:lpstr>
      <vt:lpstr>'ADAN|0456-00'!AdjPermHlthBY</vt:lpstr>
      <vt:lpstr>'ADAN|0461-00'!AdjPermHlthBY</vt:lpstr>
      <vt:lpstr>'ADAN|0462-00'!AdjPermHlthBY</vt:lpstr>
      <vt:lpstr>AdjPermHlthBY</vt:lpstr>
      <vt:lpstr>'ADAA|0001-00'!AdjPermSalary</vt:lpstr>
      <vt:lpstr>'ADAA|0365-00'!AdjPermSalary</vt:lpstr>
      <vt:lpstr>'ADAA|0450-00'!AdjPermSalary</vt:lpstr>
      <vt:lpstr>'ADAA|0519-00'!AdjPermSalary</vt:lpstr>
      <vt:lpstr>'ADAC|0365-00'!AdjPermSalary</vt:lpstr>
      <vt:lpstr>'ADAC|0450-00'!AdjPermSalary</vt:lpstr>
      <vt:lpstr>'ADAD|0450-00'!AdjPermSalary</vt:lpstr>
      <vt:lpstr>'ADAD|0456-00'!AdjPermSalary</vt:lpstr>
      <vt:lpstr>'ADAK|0461-00'!AdjPermSalary</vt:lpstr>
      <vt:lpstr>'ADAK|0462-00'!AdjPermSalary</vt:lpstr>
      <vt:lpstr>'ADAK|0519-00'!AdjPermSalary</vt:lpstr>
      <vt:lpstr>'ADAM|0001-00'!AdjPermSalary</vt:lpstr>
      <vt:lpstr>'ADAM|0450-00'!AdjPermSalary</vt:lpstr>
      <vt:lpstr>'ADAN|0456-00'!AdjPermSalary</vt:lpstr>
      <vt:lpstr>'ADAN|0461-00'!AdjPermSalary</vt:lpstr>
      <vt:lpstr>'ADAN|0462-00'!AdjPermSalary</vt:lpstr>
      <vt:lpstr>AdjPermSalary</vt:lpstr>
      <vt:lpstr>'ADAA|0001-00'!AdjPermVB</vt:lpstr>
      <vt:lpstr>'ADAA|0365-00'!AdjPermVB</vt:lpstr>
      <vt:lpstr>'ADAA|0450-00'!AdjPermVB</vt:lpstr>
      <vt:lpstr>'ADAA|0519-00'!AdjPermVB</vt:lpstr>
      <vt:lpstr>'ADAC|0365-00'!AdjPermVB</vt:lpstr>
      <vt:lpstr>'ADAC|0450-00'!AdjPermVB</vt:lpstr>
      <vt:lpstr>'ADAD|0450-00'!AdjPermVB</vt:lpstr>
      <vt:lpstr>'ADAD|0456-00'!AdjPermVB</vt:lpstr>
      <vt:lpstr>'ADAK|0461-00'!AdjPermVB</vt:lpstr>
      <vt:lpstr>'ADAK|0462-00'!AdjPermVB</vt:lpstr>
      <vt:lpstr>'ADAK|0519-00'!AdjPermVB</vt:lpstr>
      <vt:lpstr>'ADAM|0001-00'!AdjPermVB</vt:lpstr>
      <vt:lpstr>'ADAM|0450-00'!AdjPermVB</vt:lpstr>
      <vt:lpstr>'ADAN|0456-00'!AdjPermVB</vt:lpstr>
      <vt:lpstr>'ADAN|0461-00'!AdjPermVB</vt:lpstr>
      <vt:lpstr>'ADAN|0462-00'!AdjPermVB</vt:lpstr>
      <vt:lpstr>AdjPermVB</vt:lpstr>
      <vt:lpstr>'ADAA|0001-00'!AdjPermVBBY</vt:lpstr>
      <vt:lpstr>'ADAA|0365-00'!AdjPermVBBY</vt:lpstr>
      <vt:lpstr>'ADAA|0450-00'!AdjPermVBBY</vt:lpstr>
      <vt:lpstr>'ADAA|0519-00'!AdjPermVBBY</vt:lpstr>
      <vt:lpstr>'ADAC|0365-00'!AdjPermVBBY</vt:lpstr>
      <vt:lpstr>'ADAC|0450-00'!AdjPermVBBY</vt:lpstr>
      <vt:lpstr>'ADAD|0450-00'!AdjPermVBBY</vt:lpstr>
      <vt:lpstr>'ADAD|0456-00'!AdjPermVBBY</vt:lpstr>
      <vt:lpstr>'ADAK|0461-00'!AdjPermVBBY</vt:lpstr>
      <vt:lpstr>'ADAK|0462-00'!AdjPermVBBY</vt:lpstr>
      <vt:lpstr>'ADAK|0519-00'!AdjPermVBBY</vt:lpstr>
      <vt:lpstr>'ADAM|0001-00'!AdjPermVBBY</vt:lpstr>
      <vt:lpstr>'ADAM|0450-00'!AdjPermVBBY</vt:lpstr>
      <vt:lpstr>'ADAN|0456-00'!AdjPermVBBY</vt:lpstr>
      <vt:lpstr>'ADAN|0461-00'!AdjPermVBBY</vt:lpstr>
      <vt:lpstr>'ADAN|0462-00'!AdjPermVBBY</vt:lpstr>
      <vt:lpstr>AdjPermVBBY</vt:lpstr>
      <vt:lpstr>'ADAA|0001-00'!AdjustedTotal</vt:lpstr>
      <vt:lpstr>'ADAA|0365-00'!AdjustedTotal</vt:lpstr>
      <vt:lpstr>'ADAA|0450-00'!AdjustedTotal</vt:lpstr>
      <vt:lpstr>'ADAA|0519-00'!AdjustedTotal</vt:lpstr>
      <vt:lpstr>'ADAC|0365-00'!AdjustedTotal</vt:lpstr>
      <vt:lpstr>'ADAC|0450-00'!AdjustedTotal</vt:lpstr>
      <vt:lpstr>'ADAD|0450-00'!AdjustedTotal</vt:lpstr>
      <vt:lpstr>'ADAD|0456-00'!AdjustedTotal</vt:lpstr>
      <vt:lpstr>'ADAK|0461-00'!AdjustedTotal</vt:lpstr>
      <vt:lpstr>'ADAK|0462-00'!AdjustedTotal</vt:lpstr>
      <vt:lpstr>'ADAK|0519-00'!AdjustedTotal</vt:lpstr>
      <vt:lpstr>'ADAM|0001-00'!AdjustedTotal</vt:lpstr>
      <vt:lpstr>'ADAM|0450-00'!AdjustedTotal</vt:lpstr>
      <vt:lpstr>'ADAN|0456-00'!AdjustedTotal</vt:lpstr>
      <vt:lpstr>'ADAN|0461-00'!AdjustedTotal</vt:lpstr>
      <vt:lpstr>'ADAN|0462-00'!AdjustedTotal</vt:lpstr>
      <vt:lpstr>AdjustedTotal</vt:lpstr>
      <vt:lpstr>'ADAA|0001-00'!AgencyNum</vt:lpstr>
      <vt:lpstr>'ADAA|0365-00'!AgencyNum</vt:lpstr>
      <vt:lpstr>'ADAA|0450-00'!AgencyNum</vt:lpstr>
      <vt:lpstr>'ADAA|0519-00'!AgencyNum</vt:lpstr>
      <vt:lpstr>'ADAC|0365-00'!AgencyNum</vt:lpstr>
      <vt:lpstr>'ADAC|0450-00'!AgencyNum</vt:lpstr>
      <vt:lpstr>'ADAD|0450-00'!AgencyNum</vt:lpstr>
      <vt:lpstr>'ADAD|0456-00'!AgencyNum</vt:lpstr>
      <vt:lpstr>'ADAK|0461-00'!AgencyNum</vt:lpstr>
      <vt:lpstr>'ADAK|0462-00'!AgencyNum</vt:lpstr>
      <vt:lpstr>'ADAK|0519-00'!AgencyNum</vt:lpstr>
      <vt:lpstr>'ADAM|0001-00'!AgencyNum</vt:lpstr>
      <vt:lpstr>'ADAM|0450-00'!AgencyNum</vt:lpstr>
      <vt:lpstr>'ADAN|0456-00'!AgencyNum</vt:lpstr>
      <vt:lpstr>'ADAN|0461-00'!AgencyNum</vt:lpstr>
      <vt:lpstr>'ADAN|0462-00'!AgencyNum</vt:lpstr>
      <vt:lpstr>AgencyNum</vt:lpstr>
      <vt:lpstr>'ADAA|0001-00'!AppropFTP</vt:lpstr>
      <vt:lpstr>'ADAA|0365-00'!AppropFTP</vt:lpstr>
      <vt:lpstr>'ADAA|0450-00'!AppropFTP</vt:lpstr>
      <vt:lpstr>'ADAA|0519-00'!AppropFTP</vt:lpstr>
      <vt:lpstr>'ADAC|0365-00'!AppropFTP</vt:lpstr>
      <vt:lpstr>'ADAC|0450-00'!AppropFTP</vt:lpstr>
      <vt:lpstr>'ADAD|0450-00'!AppropFTP</vt:lpstr>
      <vt:lpstr>'ADAD|0456-00'!AppropFTP</vt:lpstr>
      <vt:lpstr>'ADAK|0461-00'!AppropFTP</vt:lpstr>
      <vt:lpstr>'ADAK|0462-00'!AppropFTP</vt:lpstr>
      <vt:lpstr>'ADAK|0519-00'!AppropFTP</vt:lpstr>
      <vt:lpstr>'ADAM|0001-00'!AppropFTP</vt:lpstr>
      <vt:lpstr>'ADAM|0450-00'!AppropFTP</vt:lpstr>
      <vt:lpstr>'ADAN|0456-00'!AppropFTP</vt:lpstr>
      <vt:lpstr>'ADAN|0461-00'!AppropFTP</vt:lpstr>
      <vt:lpstr>'ADAN|0462-00'!AppropFTP</vt:lpstr>
      <vt:lpstr>AppropFTP</vt:lpstr>
      <vt:lpstr>'ADAA|0001-00'!AppropTotal</vt:lpstr>
      <vt:lpstr>'ADAA|0365-00'!AppropTotal</vt:lpstr>
      <vt:lpstr>'ADAA|0450-00'!AppropTotal</vt:lpstr>
      <vt:lpstr>'ADAA|0519-00'!AppropTotal</vt:lpstr>
      <vt:lpstr>'ADAC|0365-00'!AppropTotal</vt:lpstr>
      <vt:lpstr>'ADAC|0450-00'!AppropTotal</vt:lpstr>
      <vt:lpstr>'ADAD|0450-00'!AppropTotal</vt:lpstr>
      <vt:lpstr>'ADAD|0456-00'!AppropTotal</vt:lpstr>
      <vt:lpstr>'ADAK|0461-00'!AppropTotal</vt:lpstr>
      <vt:lpstr>'ADAK|0462-00'!AppropTotal</vt:lpstr>
      <vt:lpstr>'ADAK|0519-00'!AppropTotal</vt:lpstr>
      <vt:lpstr>'ADAM|0001-00'!AppropTotal</vt:lpstr>
      <vt:lpstr>'ADAM|0450-00'!AppropTotal</vt:lpstr>
      <vt:lpstr>'ADAN|0456-00'!AppropTotal</vt:lpstr>
      <vt:lpstr>'ADAN|0461-00'!AppropTotal</vt:lpstr>
      <vt:lpstr>'ADAN|0462-00'!AppropTotal</vt:lpstr>
      <vt:lpstr>AppropTotal</vt:lpstr>
      <vt:lpstr>'ADAA|0001-00'!AtZHealth</vt:lpstr>
      <vt:lpstr>'ADAA|0365-00'!AtZHealth</vt:lpstr>
      <vt:lpstr>'ADAA|0450-00'!AtZHealth</vt:lpstr>
      <vt:lpstr>'ADAA|0519-00'!AtZHealth</vt:lpstr>
      <vt:lpstr>'ADAC|0365-00'!AtZHealth</vt:lpstr>
      <vt:lpstr>'ADAC|0450-00'!AtZHealth</vt:lpstr>
      <vt:lpstr>'ADAD|0450-00'!AtZHealth</vt:lpstr>
      <vt:lpstr>'ADAD|0456-00'!AtZHealth</vt:lpstr>
      <vt:lpstr>'ADAK|0461-00'!AtZHealth</vt:lpstr>
      <vt:lpstr>'ADAK|0462-00'!AtZHealth</vt:lpstr>
      <vt:lpstr>'ADAK|0519-00'!AtZHealth</vt:lpstr>
      <vt:lpstr>'ADAM|0001-00'!AtZHealth</vt:lpstr>
      <vt:lpstr>'ADAM|0450-00'!AtZHealth</vt:lpstr>
      <vt:lpstr>'ADAN|0456-00'!AtZHealth</vt:lpstr>
      <vt:lpstr>'ADAN|0461-00'!AtZHealth</vt:lpstr>
      <vt:lpstr>'ADAN|0462-00'!AtZHealth</vt:lpstr>
      <vt:lpstr>AtZHealth</vt:lpstr>
      <vt:lpstr>'ADAA|0001-00'!AtZSalary</vt:lpstr>
      <vt:lpstr>'ADAA|0365-00'!AtZSalary</vt:lpstr>
      <vt:lpstr>'ADAA|0450-00'!AtZSalary</vt:lpstr>
      <vt:lpstr>'ADAA|0519-00'!AtZSalary</vt:lpstr>
      <vt:lpstr>'ADAC|0365-00'!AtZSalary</vt:lpstr>
      <vt:lpstr>'ADAC|0450-00'!AtZSalary</vt:lpstr>
      <vt:lpstr>'ADAD|0450-00'!AtZSalary</vt:lpstr>
      <vt:lpstr>'ADAD|0456-00'!AtZSalary</vt:lpstr>
      <vt:lpstr>'ADAK|0461-00'!AtZSalary</vt:lpstr>
      <vt:lpstr>'ADAK|0462-00'!AtZSalary</vt:lpstr>
      <vt:lpstr>'ADAK|0519-00'!AtZSalary</vt:lpstr>
      <vt:lpstr>'ADAM|0001-00'!AtZSalary</vt:lpstr>
      <vt:lpstr>'ADAM|0450-00'!AtZSalary</vt:lpstr>
      <vt:lpstr>'ADAN|0456-00'!AtZSalary</vt:lpstr>
      <vt:lpstr>'ADAN|0461-00'!AtZSalary</vt:lpstr>
      <vt:lpstr>'ADAN|0462-00'!AtZSalary</vt:lpstr>
      <vt:lpstr>AtZSalary</vt:lpstr>
      <vt:lpstr>'ADAA|0001-00'!AtZTotal</vt:lpstr>
      <vt:lpstr>'ADAA|0365-00'!AtZTotal</vt:lpstr>
      <vt:lpstr>'ADAA|0450-00'!AtZTotal</vt:lpstr>
      <vt:lpstr>'ADAA|0519-00'!AtZTotal</vt:lpstr>
      <vt:lpstr>'ADAC|0365-00'!AtZTotal</vt:lpstr>
      <vt:lpstr>'ADAC|0450-00'!AtZTotal</vt:lpstr>
      <vt:lpstr>'ADAD|0450-00'!AtZTotal</vt:lpstr>
      <vt:lpstr>'ADAD|0456-00'!AtZTotal</vt:lpstr>
      <vt:lpstr>'ADAK|0461-00'!AtZTotal</vt:lpstr>
      <vt:lpstr>'ADAK|0462-00'!AtZTotal</vt:lpstr>
      <vt:lpstr>'ADAK|0519-00'!AtZTotal</vt:lpstr>
      <vt:lpstr>'ADAM|0001-00'!AtZTotal</vt:lpstr>
      <vt:lpstr>'ADAM|0450-00'!AtZTotal</vt:lpstr>
      <vt:lpstr>'ADAN|0456-00'!AtZTotal</vt:lpstr>
      <vt:lpstr>'ADAN|0461-00'!AtZTotal</vt:lpstr>
      <vt:lpstr>'ADAN|0462-00'!AtZTotal</vt:lpstr>
      <vt:lpstr>AtZTotal</vt:lpstr>
      <vt:lpstr>'ADAA|0001-00'!AtZVarBen</vt:lpstr>
      <vt:lpstr>'ADAA|0365-00'!AtZVarBen</vt:lpstr>
      <vt:lpstr>'ADAA|0450-00'!AtZVarBen</vt:lpstr>
      <vt:lpstr>'ADAA|0519-00'!AtZVarBen</vt:lpstr>
      <vt:lpstr>'ADAC|0365-00'!AtZVarBen</vt:lpstr>
      <vt:lpstr>'ADAC|0450-00'!AtZVarBen</vt:lpstr>
      <vt:lpstr>'ADAD|0450-00'!AtZVarBen</vt:lpstr>
      <vt:lpstr>'ADAD|0456-00'!AtZVarBen</vt:lpstr>
      <vt:lpstr>'ADAK|0461-00'!AtZVarBen</vt:lpstr>
      <vt:lpstr>'ADAK|0462-00'!AtZVarBen</vt:lpstr>
      <vt:lpstr>'ADAK|0519-00'!AtZVarBen</vt:lpstr>
      <vt:lpstr>'ADAM|0001-00'!AtZVarBen</vt:lpstr>
      <vt:lpstr>'ADAM|0450-00'!AtZVarBen</vt:lpstr>
      <vt:lpstr>'ADAN|0456-00'!AtZVarBen</vt:lpstr>
      <vt:lpstr>'ADAN|0461-00'!AtZVarBen</vt:lpstr>
      <vt:lpstr>'ADAN|0462-00'!AtZVarBen</vt:lpstr>
      <vt:lpstr>AtZVarBen</vt:lpstr>
      <vt:lpstr>'ADAA|0001-00'!BudgetUnit</vt:lpstr>
      <vt:lpstr>'ADAA|0365-00'!BudgetUnit</vt:lpstr>
      <vt:lpstr>'ADAA|0450-00'!BudgetUnit</vt:lpstr>
      <vt:lpstr>'ADAA|0519-00'!BudgetUnit</vt:lpstr>
      <vt:lpstr>'ADAC|0365-00'!BudgetUnit</vt:lpstr>
      <vt:lpstr>'ADAC|0450-00'!BudgetUnit</vt:lpstr>
      <vt:lpstr>'ADAD|0450-00'!BudgetUnit</vt:lpstr>
      <vt:lpstr>'ADAD|0456-00'!BudgetUnit</vt:lpstr>
      <vt:lpstr>'ADAK|0461-00'!BudgetUnit</vt:lpstr>
      <vt:lpstr>'ADAK|0462-00'!BudgetUnit</vt:lpstr>
      <vt:lpstr>'ADAK|0519-00'!BudgetUnit</vt:lpstr>
      <vt:lpstr>'ADAM|0001-00'!BudgetUnit</vt:lpstr>
      <vt:lpstr>'ADAM|0450-00'!BudgetUnit</vt:lpstr>
      <vt:lpstr>'ADAN|0456-00'!BudgetUnit</vt:lpstr>
      <vt:lpstr>'ADAN|0461-00'!BudgetUnit</vt:lpstr>
      <vt:lpstr>'ADAN|0462-00'!BudgetUnit</vt:lpstr>
      <vt:lpstr>BudgetUnit</vt:lpstr>
      <vt:lpstr>BudgetYear</vt:lpstr>
      <vt:lpstr>CECGroup</vt:lpstr>
      <vt:lpstr>'ADAA|0001-00'!CECOrigElectSalary</vt:lpstr>
      <vt:lpstr>'ADAA|0365-00'!CECOrigElectSalary</vt:lpstr>
      <vt:lpstr>'ADAA|0450-00'!CECOrigElectSalary</vt:lpstr>
      <vt:lpstr>'ADAA|0519-00'!CECOrigElectSalary</vt:lpstr>
      <vt:lpstr>'ADAC|0365-00'!CECOrigElectSalary</vt:lpstr>
      <vt:lpstr>'ADAC|0450-00'!CECOrigElectSalary</vt:lpstr>
      <vt:lpstr>'ADAD|0450-00'!CECOrigElectSalary</vt:lpstr>
      <vt:lpstr>'ADAD|0456-00'!CECOrigElectSalary</vt:lpstr>
      <vt:lpstr>'ADAK|0461-00'!CECOrigElectSalary</vt:lpstr>
      <vt:lpstr>'ADAK|0462-00'!CECOrigElectSalary</vt:lpstr>
      <vt:lpstr>'ADAK|0519-00'!CECOrigElectSalary</vt:lpstr>
      <vt:lpstr>'ADAM|0001-00'!CECOrigElectSalary</vt:lpstr>
      <vt:lpstr>'ADAM|0450-00'!CECOrigElectSalary</vt:lpstr>
      <vt:lpstr>'ADAN|0456-00'!CECOrigElectSalary</vt:lpstr>
      <vt:lpstr>'ADAN|0461-00'!CECOrigElectSalary</vt:lpstr>
      <vt:lpstr>'ADAN|0462-00'!CECOrigElectSalary</vt:lpstr>
      <vt:lpstr>CECOrigElectSalary</vt:lpstr>
      <vt:lpstr>'ADAA|0001-00'!CECOrigElectVB</vt:lpstr>
      <vt:lpstr>'ADAA|0365-00'!CECOrigElectVB</vt:lpstr>
      <vt:lpstr>'ADAA|0450-00'!CECOrigElectVB</vt:lpstr>
      <vt:lpstr>'ADAA|0519-00'!CECOrigElectVB</vt:lpstr>
      <vt:lpstr>'ADAC|0365-00'!CECOrigElectVB</vt:lpstr>
      <vt:lpstr>'ADAC|0450-00'!CECOrigElectVB</vt:lpstr>
      <vt:lpstr>'ADAD|0450-00'!CECOrigElectVB</vt:lpstr>
      <vt:lpstr>'ADAD|0456-00'!CECOrigElectVB</vt:lpstr>
      <vt:lpstr>'ADAK|0461-00'!CECOrigElectVB</vt:lpstr>
      <vt:lpstr>'ADAK|0462-00'!CECOrigElectVB</vt:lpstr>
      <vt:lpstr>'ADAK|0519-00'!CECOrigElectVB</vt:lpstr>
      <vt:lpstr>'ADAM|0001-00'!CECOrigElectVB</vt:lpstr>
      <vt:lpstr>'ADAM|0450-00'!CECOrigElectVB</vt:lpstr>
      <vt:lpstr>'ADAN|0456-00'!CECOrigElectVB</vt:lpstr>
      <vt:lpstr>'ADAN|0461-00'!CECOrigElectVB</vt:lpstr>
      <vt:lpstr>'ADAN|0462-00'!CECOrigElectVB</vt:lpstr>
      <vt:lpstr>CECOrigElectVB</vt:lpstr>
      <vt:lpstr>'ADAA|0001-00'!CECOrigGroupSalary</vt:lpstr>
      <vt:lpstr>'ADAA|0365-00'!CECOrigGroupSalary</vt:lpstr>
      <vt:lpstr>'ADAA|0450-00'!CECOrigGroupSalary</vt:lpstr>
      <vt:lpstr>'ADAA|0519-00'!CECOrigGroupSalary</vt:lpstr>
      <vt:lpstr>'ADAC|0365-00'!CECOrigGroupSalary</vt:lpstr>
      <vt:lpstr>'ADAC|0450-00'!CECOrigGroupSalary</vt:lpstr>
      <vt:lpstr>'ADAD|0450-00'!CECOrigGroupSalary</vt:lpstr>
      <vt:lpstr>'ADAD|0456-00'!CECOrigGroupSalary</vt:lpstr>
      <vt:lpstr>'ADAK|0461-00'!CECOrigGroupSalary</vt:lpstr>
      <vt:lpstr>'ADAK|0462-00'!CECOrigGroupSalary</vt:lpstr>
      <vt:lpstr>'ADAK|0519-00'!CECOrigGroupSalary</vt:lpstr>
      <vt:lpstr>'ADAM|0001-00'!CECOrigGroupSalary</vt:lpstr>
      <vt:lpstr>'ADAM|0450-00'!CECOrigGroupSalary</vt:lpstr>
      <vt:lpstr>'ADAN|0456-00'!CECOrigGroupSalary</vt:lpstr>
      <vt:lpstr>'ADAN|0461-00'!CECOrigGroupSalary</vt:lpstr>
      <vt:lpstr>'ADAN|0462-00'!CECOrigGroupSalary</vt:lpstr>
      <vt:lpstr>CECOrigGroupSalary</vt:lpstr>
      <vt:lpstr>'ADAA|0001-00'!CECOrigGroupVB</vt:lpstr>
      <vt:lpstr>'ADAA|0365-00'!CECOrigGroupVB</vt:lpstr>
      <vt:lpstr>'ADAA|0450-00'!CECOrigGroupVB</vt:lpstr>
      <vt:lpstr>'ADAA|0519-00'!CECOrigGroupVB</vt:lpstr>
      <vt:lpstr>'ADAC|0365-00'!CECOrigGroupVB</vt:lpstr>
      <vt:lpstr>'ADAC|0450-00'!CECOrigGroupVB</vt:lpstr>
      <vt:lpstr>'ADAD|0450-00'!CECOrigGroupVB</vt:lpstr>
      <vt:lpstr>'ADAD|0456-00'!CECOrigGroupVB</vt:lpstr>
      <vt:lpstr>'ADAK|0461-00'!CECOrigGroupVB</vt:lpstr>
      <vt:lpstr>'ADAK|0462-00'!CECOrigGroupVB</vt:lpstr>
      <vt:lpstr>'ADAK|0519-00'!CECOrigGroupVB</vt:lpstr>
      <vt:lpstr>'ADAM|0001-00'!CECOrigGroupVB</vt:lpstr>
      <vt:lpstr>'ADAM|0450-00'!CECOrigGroupVB</vt:lpstr>
      <vt:lpstr>'ADAN|0456-00'!CECOrigGroupVB</vt:lpstr>
      <vt:lpstr>'ADAN|0461-00'!CECOrigGroupVB</vt:lpstr>
      <vt:lpstr>'ADAN|0462-00'!CECOrigGroupVB</vt:lpstr>
      <vt:lpstr>CECOrigGroupVB</vt:lpstr>
      <vt:lpstr>'ADAA|0001-00'!CECOrigPermSalary</vt:lpstr>
      <vt:lpstr>'ADAA|0365-00'!CECOrigPermSalary</vt:lpstr>
      <vt:lpstr>'ADAA|0450-00'!CECOrigPermSalary</vt:lpstr>
      <vt:lpstr>'ADAA|0519-00'!CECOrigPermSalary</vt:lpstr>
      <vt:lpstr>'ADAC|0365-00'!CECOrigPermSalary</vt:lpstr>
      <vt:lpstr>'ADAC|0450-00'!CECOrigPermSalary</vt:lpstr>
      <vt:lpstr>'ADAD|0450-00'!CECOrigPermSalary</vt:lpstr>
      <vt:lpstr>'ADAD|0456-00'!CECOrigPermSalary</vt:lpstr>
      <vt:lpstr>'ADAK|0461-00'!CECOrigPermSalary</vt:lpstr>
      <vt:lpstr>'ADAK|0462-00'!CECOrigPermSalary</vt:lpstr>
      <vt:lpstr>'ADAK|0519-00'!CECOrigPermSalary</vt:lpstr>
      <vt:lpstr>'ADAM|0001-00'!CECOrigPermSalary</vt:lpstr>
      <vt:lpstr>'ADAM|0450-00'!CECOrigPermSalary</vt:lpstr>
      <vt:lpstr>'ADAN|0456-00'!CECOrigPermSalary</vt:lpstr>
      <vt:lpstr>'ADAN|0461-00'!CECOrigPermSalary</vt:lpstr>
      <vt:lpstr>'ADAN|0462-00'!CECOrigPermSalary</vt:lpstr>
      <vt:lpstr>CECOrigPermSalary</vt:lpstr>
      <vt:lpstr>'ADAA|0001-00'!CECOrigPermVB</vt:lpstr>
      <vt:lpstr>'ADAA|0365-00'!CECOrigPermVB</vt:lpstr>
      <vt:lpstr>'ADAA|0450-00'!CECOrigPermVB</vt:lpstr>
      <vt:lpstr>'ADAA|0519-00'!CECOrigPermVB</vt:lpstr>
      <vt:lpstr>'ADAC|0365-00'!CECOrigPermVB</vt:lpstr>
      <vt:lpstr>'ADAC|0450-00'!CECOrigPermVB</vt:lpstr>
      <vt:lpstr>'ADAD|0450-00'!CECOrigPermVB</vt:lpstr>
      <vt:lpstr>'ADAD|0456-00'!CECOrigPermVB</vt:lpstr>
      <vt:lpstr>'ADAK|0461-00'!CECOrigPermVB</vt:lpstr>
      <vt:lpstr>'ADAK|0462-00'!CECOrigPermVB</vt:lpstr>
      <vt:lpstr>'ADAK|0519-00'!CECOrigPermVB</vt:lpstr>
      <vt:lpstr>'ADAM|0001-00'!CECOrigPermVB</vt:lpstr>
      <vt:lpstr>'ADAM|0450-00'!CECOrigPermVB</vt:lpstr>
      <vt:lpstr>'ADAN|0456-00'!CECOrigPermVB</vt:lpstr>
      <vt:lpstr>'ADAN|0461-00'!CECOrigPermVB</vt:lpstr>
      <vt:lpstr>'ADAN|0462-00'!CECOrigPermVB</vt:lpstr>
      <vt:lpstr>CECOrigPermVB</vt:lpstr>
      <vt:lpstr>CECPerm</vt:lpstr>
      <vt:lpstr>'ADAA|0001-00'!CECpermCalc</vt:lpstr>
      <vt:lpstr>'ADAA|0365-00'!CECpermCalc</vt:lpstr>
      <vt:lpstr>'ADAA|0450-00'!CECpermCalc</vt:lpstr>
      <vt:lpstr>'ADAA|0519-00'!CECpermCalc</vt:lpstr>
      <vt:lpstr>'ADAC|0365-00'!CECpermCalc</vt:lpstr>
      <vt:lpstr>'ADAC|0450-00'!CECpermCalc</vt:lpstr>
      <vt:lpstr>'ADAD|0450-00'!CECpermCalc</vt:lpstr>
      <vt:lpstr>'ADAD|0456-00'!CECpermCalc</vt:lpstr>
      <vt:lpstr>'ADAK|0461-00'!CECpermCalc</vt:lpstr>
      <vt:lpstr>'ADAK|0462-00'!CECpermCalc</vt:lpstr>
      <vt:lpstr>'ADAK|0519-00'!CECpermCalc</vt:lpstr>
      <vt:lpstr>'ADAM|0001-00'!CECpermCalc</vt:lpstr>
      <vt:lpstr>'ADAM|0450-00'!CECpermCalc</vt:lpstr>
      <vt:lpstr>'ADAN|0456-00'!CECpermCalc</vt:lpstr>
      <vt:lpstr>'ADAN|0461-00'!CECpermCalc</vt:lpstr>
      <vt:lpstr>'ADAN|0462-00'!CECpermCalc</vt:lpstr>
      <vt:lpstr>CECpermCalc</vt:lpstr>
      <vt:lpstr>'ADAA|0001-00'!Department</vt:lpstr>
      <vt:lpstr>'ADAA|0365-00'!Department</vt:lpstr>
      <vt:lpstr>'ADAA|0450-00'!Department</vt:lpstr>
      <vt:lpstr>'ADAA|0519-00'!Department</vt:lpstr>
      <vt:lpstr>'ADAC|0365-00'!Department</vt:lpstr>
      <vt:lpstr>'ADAC|0450-00'!Department</vt:lpstr>
      <vt:lpstr>'ADAD|0450-00'!Department</vt:lpstr>
      <vt:lpstr>'ADAD|0456-00'!Department</vt:lpstr>
      <vt:lpstr>'ADAK|0461-00'!Department</vt:lpstr>
      <vt:lpstr>'ADAK|0462-00'!Department</vt:lpstr>
      <vt:lpstr>'ADAK|0519-00'!Department</vt:lpstr>
      <vt:lpstr>'ADAM|0001-00'!Department</vt:lpstr>
      <vt:lpstr>'ADAM|0450-00'!Department</vt:lpstr>
      <vt:lpstr>'ADAN|0456-00'!Department</vt:lpstr>
      <vt:lpstr>'ADAN|0461-00'!Department</vt:lpstr>
      <vt:lpstr>'ADAN|0462-00'!Department</vt:lpstr>
      <vt:lpstr>Department</vt:lpstr>
      <vt:lpstr>DHR</vt:lpstr>
      <vt:lpstr>DHRBY</vt:lpstr>
      <vt:lpstr>DHRCHG</vt:lpstr>
      <vt:lpstr>'ADAA|0001-00'!Division</vt:lpstr>
      <vt:lpstr>'ADAA|0365-00'!Division</vt:lpstr>
      <vt:lpstr>'ADAA|0450-00'!Division</vt:lpstr>
      <vt:lpstr>'ADAA|0519-00'!Division</vt:lpstr>
      <vt:lpstr>'ADAC|0365-00'!Division</vt:lpstr>
      <vt:lpstr>'ADAC|0450-00'!Division</vt:lpstr>
      <vt:lpstr>'ADAD|0450-00'!Division</vt:lpstr>
      <vt:lpstr>'ADAD|0456-00'!Division</vt:lpstr>
      <vt:lpstr>'ADAK|0461-00'!Division</vt:lpstr>
      <vt:lpstr>'ADAK|0462-00'!Division</vt:lpstr>
      <vt:lpstr>'ADAK|0519-00'!Division</vt:lpstr>
      <vt:lpstr>'ADAM|0001-00'!Division</vt:lpstr>
      <vt:lpstr>'ADAM|0450-00'!Division</vt:lpstr>
      <vt:lpstr>'ADAN|0456-00'!Division</vt:lpstr>
      <vt:lpstr>'ADAN|0461-00'!Division</vt:lpstr>
      <vt:lpstr>'ADAN|0462-00'!Division</vt:lpstr>
      <vt:lpstr>Division</vt:lpstr>
      <vt:lpstr>'ADAA|0001-00'!DUCECElect</vt:lpstr>
      <vt:lpstr>'ADAA|0365-00'!DUCECElect</vt:lpstr>
      <vt:lpstr>'ADAA|0450-00'!DUCECElect</vt:lpstr>
      <vt:lpstr>'ADAA|0519-00'!DUCECElect</vt:lpstr>
      <vt:lpstr>'ADAC|0365-00'!DUCECElect</vt:lpstr>
      <vt:lpstr>'ADAC|0450-00'!DUCECElect</vt:lpstr>
      <vt:lpstr>'ADAD|0450-00'!DUCECElect</vt:lpstr>
      <vt:lpstr>'ADAD|0456-00'!DUCECElect</vt:lpstr>
      <vt:lpstr>'ADAK|0461-00'!DUCECElect</vt:lpstr>
      <vt:lpstr>'ADAK|0462-00'!DUCECElect</vt:lpstr>
      <vt:lpstr>'ADAK|0519-00'!DUCECElect</vt:lpstr>
      <vt:lpstr>'ADAM|0001-00'!DUCECElect</vt:lpstr>
      <vt:lpstr>'ADAM|0450-00'!DUCECElect</vt:lpstr>
      <vt:lpstr>'ADAN|0456-00'!DUCECElect</vt:lpstr>
      <vt:lpstr>'ADAN|0461-00'!DUCECElect</vt:lpstr>
      <vt:lpstr>'ADAN|0462-00'!DUCECElect</vt:lpstr>
      <vt:lpstr>DUCECElect</vt:lpstr>
      <vt:lpstr>'ADAA|0001-00'!DUCECGroup</vt:lpstr>
      <vt:lpstr>'ADAA|0365-00'!DUCECGroup</vt:lpstr>
      <vt:lpstr>'ADAA|0450-00'!DUCECGroup</vt:lpstr>
      <vt:lpstr>'ADAA|0519-00'!DUCECGroup</vt:lpstr>
      <vt:lpstr>'ADAC|0365-00'!DUCECGroup</vt:lpstr>
      <vt:lpstr>'ADAC|0450-00'!DUCECGroup</vt:lpstr>
      <vt:lpstr>'ADAD|0450-00'!DUCECGroup</vt:lpstr>
      <vt:lpstr>'ADAD|0456-00'!DUCECGroup</vt:lpstr>
      <vt:lpstr>'ADAK|0461-00'!DUCECGroup</vt:lpstr>
      <vt:lpstr>'ADAK|0462-00'!DUCECGroup</vt:lpstr>
      <vt:lpstr>'ADAK|0519-00'!DUCECGroup</vt:lpstr>
      <vt:lpstr>'ADAM|0001-00'!DUCECGroup</vt:lpstr>
      <vt:lpstr>'ADAM|0450-00'!DUCECGroup</vt:lpstr>
      <vt:lpstr>'ADAN|0456-00'!DUCECGroup</vt:lpstr>
      <vt:lpstr>'ADAN|0461-00'!DUCECGroup</vt:lpstr>
      <vt:lpstr>'ADAN|0462-00'!DUCECGroup</vt:lpstr>
      <vt:lpstr>DUCECGroup</vt:lpstr>
      <vt:lpstr>'ADAA|0001-00'!DUCECPerm</vt:lpstr>
      <vt:lpstr>'ADAA|0365-00'!DUCECPerm</vt:lpstr>
      <vt:lpstr>'ADAA|0450-00'!DUCECPerm</vt:lpstr>
      <vt:lpstr>'ADAA|0519-00'!DUCECPerm</vt:lpstr>
      <vt:lpstr>'ADAC|0365-00'!DUCECPerm</vt:lpstr>
      <vt:lpstr>'ADAC|0450-00'!DUCECPerm</vt:lpstr>
      <vt:lpstr>'ADAD|0450-00'!DUCECPerm</vt:lpstr>
      <vt:lpstr>'ADAD|0456-00'!DUCECPerm</vt:lpstr>
      <vt:lpstr>'ADAK|0461-00'!DUCECPerm</vt:lpstr>
      <vt:lpstr>'ADAK|0462-00'!DUCECPerm</vt:lpstr>
      <vt:lpstr>'ADAK|0519-00'!DUCECPerm</vt:lpstr>
      <vt:lpstr>'ADAM|0001-00'!DUCECPerm</vt:lpstr>
      <vt:lpstr>'ADAM|0450-00'!DUCECPerm</vt:lpstr>
      <vt:lpstr>'ADAN|0456-00'!DUCECPerm</vt:lpstr>
      <vt:lpstr>'ADAN|0461-00'!DUCECPerm</vt:lpstr>
      <vt:lpstr>'ADAN|0462-00'!DUCECPerm</vt:lpstr>
      <vt:lpstr>DUCECPerm</vt:lpstr>
      <vt:lpstr>'ADAA|0001-00'!DUEleven</vt:lpstr>
      <vt:lpstr>'ADAA|0365-00'!DUEleven</vt:lpstr>
      <vt:lpstr>'ADAA|0450-00'!DUEleven</vt:lpstr>
      <vt:lpstr>'ADAA|0519-00'!DUEleven</vt:lpstr>
      <vt:lpstr>'ADAC|0365-00'!DUEleven</vt:lpstr>
      <vt:lpstr>'ADAC|0450-00'!DUEleven</vt:lpstr>
      <vt:lpstr>'ADAD|0450-00'!DUEleven</vt:lpstr>
      <vt:lpstr>'ADAD|0456-00'!DUEleven</vt:lpstr>
      <vt:lpstr>'ADAK|0461-00'!DUEleven</vt:lpstr>
      <vt:lpstr>'ADAK|0462-00'!DUEleven</vt:lpstr>
      <vt:lpstr>'ADAK|0519-00'!DUEleven</vt:lpstr>
      <vt:lpstr>'ADAM|0001-00'!DUEleven</vt:lpstr>
      <vt:lpstr>'ADAM|0450-00'!DUEleven</vt:lpstr>
      <vt:lpstr>'ADAN|0456-00'!DUEleven</vt:lpstr>
      <vt:lpstr>'ADAN|0461-00'!DUEleven</vt:lpstr>
      <vt:lpstr>'ADAN|0462-00'!DUEleven</vt:lpstr>
      <vt:lpstr>DUEleven</vt:lpstr>
      <vt:lpstr>'ADAA|0001-00'!DUHealthBen</vt:lpstr>
      <vt:lpstr>'ADAA|0365-00'!DUHealthBen</vt:lpstr>
      <vt:lpstr>'ADAA|0450-00'!DUHealthBen</vt:lpstr>
      <vt:lpstr>'ADAA|0519-00'!DUHealthBen</vt:lpstr>
      <vt:lpstr>'ADAC|0365-00'!DUHealthBen</vt:lpstr>
      <vt:lpstr>'ADAC|0450-00'!DUHealthBen</vt:lpstr>
      <vt:lpstr>'ADAD|0450-00'!DUHealthBen</vt:lpstr>
      <vt:lpstr>'ADAD|0456-00'!DUHealthBen</vt:lpstr>
      <vt:lpstr>'ADAK|0461-00'!DUHealthBen</vt:lpstr>
      <vt:lpstr>'ADAK|0462-00'!DUHealthBen</vt:lpstr>
      <vt:lpstr>'ADAK|0519-00'!DUHealthBen</vt:lpstr>
      <vt:lpstr>'ADAM|0001-00'!DUHealthBen</vt:lpstr>
      <vt:lpstr>'ADAM|0450-00'!DUHealthBen</vt:lpstr>
      <vt:lpstr>'ADAN|0456-00'!DUHealthBen</vt:lpstr>
      <vt:lpstr>'ADAN|0461-00'!DUHealthBen</vt:lpstr>
      <vt:lpstr>'ADAN|0462-00'!DUHealthBen</vt:lpstr>
      <vt:lpstr>DUHealthBen</vt:lpstr>
      <vt:lpstr>'ADAA|0001-00'!DUNine</vt:lpstr>
      <vt:lpstr>'ADAA|0365-00'!DUNine</vt:lpstr>
      <vt:lpstr>'ADAA|0450-00'!DUNine</vt:lpstr>
      <vt:lpstr>'ADAA|0519-00'!DUNine</vt:lpstr>
      <vt:lpstr>'ADAC|0365-00'!DUNine</vt:lpstr>
      <vt:lpstr>'ADAC|0450-00'!DUNine</vt:lpstr>
      <vt:lpstr>'ADAD|0450-00'!DUNine</vt:lpstr>
      <vt:lpstr>'ADAD|0456-00'!DUNine</vt:lpstr>
      <vt:lpstr>'ADAK|0461-00'!DUNine</vt:lpstr>
      <vt:lpstr>'ADAK|0462-00'!DUNine</vt:lpstr>
      <vt:lpstr>'ADAK|0519-00'!DUNine</vt:lpstr>
      <vt:lpstr>'ADAM|0001-00'!DUNine</vt:lpstr>
      <vt:lpstr>'ADAM|0450-00'!DUNine</vt:lpstr>
      <vt:lpstr>'ADAN|0456-00'!DUNine</vt:lpstr>
      <vt:lpstr>'ADAN|0461-00'!DUNine</vt:lpstr>
      <vt:lpstr>'ADAN|0462-00'!DUNine</vt:lpstr>
      <vt:lpstr>DUNine</vt:lpstr>
      <vt:lpstr>'ADAA|0001-00'!DUThirteen</vt:lpstr>
      <vt:lpstr>'ADAA|0365-00'!DUThirteen</vt:lpstr>
      <vt:lpstr>'ADAA|0450-00'!DUThirteen</vt:lpstr>
      <vt:lpstr>'ADAA|0519-00'!DUThirteen</vt:lpstr>
      <vt:lpstr>'ADAC|0365-00'!DUThirteen</vt:lpstr>
      <vt:lpstr>'ADAC|0450-00'!DUThirteen</vt:lpstr>
      <vt:lpstr>'ADAD|0450-00'!DUThirteen</vt:lpstr>
      <vt:lpstr>'ADAD|0456-00'!DUThirteen</vt:lpstr>
      <vt:lpstr>'ADAK|0461-00'!DUThirteen</vt:lpstr>
      <vt:lpstr>'ADAK|0462-00'!DUThirteen</vt:lpstr>
      <vt:lpstr>'ADAK|0519-00'!DUThirteen</vt:lpstr>
      <vt:lpstr>'ADAM|0001-00'!DUThirteen</vt:lpstr>
      <vt:lpstr>'ADAM|0450-00'!DUThirteen</vt:lpstr>
      <vt:lpstr>'ADAN|0456-00'!DUThirteen</vt:lpstr>
      <vt:lpstr>'ADAN|0461-00'!DUThirteen</vt:lpstr>
      <vt:lpstr>'ADAN|0462-00'!DUThirteen</vt:lpstr>
      <vt:lpstr>DUThirteen</vt:lpstr>
      <vt:lpstr>'ADAA|0001-00'!DUVariableBen</vt:lpstr>
      <vt:lpstr>'ADAA|0365-00'!DUVariableBen</vt:lpstr>
      <vt:lpstr>'ADAA|0450-00'!DUVariableBen</vt:lpstr>
      <vt:lpstr>'ADAA|0519-00'!DUVariableBen</vt:lpstr>
      <vt:lpstr>'ADAC|0365-00'!DUVariableBen</vt:lpstr>
      <vt:lpstr>'ADAC|0450-00'!DUVariableBen</vt:lpstr>
      <vt:lpstr>'ADAD|0450-00'!DUVariableBen</vt:lpstr>
      <vt:lpstr>'ADAD|0456-00'!DUVariableBen</vt:lpstr>
      <vt:lpstr>'ADAK|0461-00'!DUVariableBen</vt:lpstr>
      <vt:lpstr>'ADAK|0462-00'!DUVariableBen</vt:lpstr>
      <vt:lpstr>'ADAK|0519-00'!DUVariableBen</vt:lpstr>
      <vt:lpstr>'ADAM|0001-00'!DUVariableBen</vt:lpstr>
      <vt:lpstr>'ADAM|0450-00'!DUVariableBen</vt:lpstr>
      <vt:lpstr>'ADAN|0456-00'!DUVariableBen</vt:lpstr>
      <vt:lpstr>'ADAN|0461-00'!DUVariableBen</vt:lpstr>
      <vt:lpstr>'ADAN|0462-00'!DUVariableBen</vt:lpstr>
      <vt:lpstr>DUVariableBen</vt:lpstr>
      <vt:lpstr>'ADAA|0001-00'!Elect_chg_health</vt:lpstr>
      <vt:lpstr>'ADAA|0365-00'!Elect_chg_health</vt:lpstr>
      <vt:lpstr>'ADAA|0450-00'!Elect_chg_health</vt:lpstr>
      <vt:lpstr>'ADAA|0519-00'!Elect_chg_health</vt:lpstr>
      <vt:lpstr>'ADAC|0365-00'!Elect_chg_health</vt:lpstr>
      <vt:lpstr>'ADAC|0450-00'!Elect_chg_health</vt:lpstr>
      <vt:lpstr>'ADAD|0450-00'!Elect_chg_health</vt:lpstr>
      <vt:lpstr>'ADAD|0456-00'!Elect_chg_health</vt:lpstr>
      <vt:lpstr>'ADAK|0461-00'!Elect_chg_health</vt:lpstr>
      <vt:lpstr>'ADAK|0462-00'!Elect_chg_health</vt:lpstr>
      <vt:lpstr>'ADAK|0519-00'!Elect_chg_health</vt:lpstr>
      <vt:lpstr>'ADAM|0001-00'!Elect_chg_health</vt:lpstr>
      <vt:lpstr>'ADAM|0450-00'!Elect_chg_health</vt:lpstr>
      <vt:lpstr>'ADAN|0456-00'!Elect_chg_health</vt:lpstr>
      <vt:lpstr>'ADAN|0461-00'!Elect_chg_health</vt:lpstr>
      <vt:lpstr>'ADAN|0462-00'!Elect_chg_health</vt:lpstr>
      <vt:lpstr>Elect_chg_health</vt:lpstr>
      <vt:lpstr>'ADAA|0001-00'!Elect_chg_Var</vt:lpstr>
      <vt:lpstr>'ADAA|0365-00'!Elect_chg_Var</vt:lpstr>
      <vt:lpstr>'ADAA|0450-00'!Elect_chg_Var</vt:lpstr>
      <vt:lpstr>'ADAA|0519-00'!Elect_chg_Var</vt:lpstr>
      <vt:lpstr>'ADAC|0365-00'!Elect_chg_Var</vt:lpstr>
      <vt:lpstr>'ADAC|0450-00'!Elect_chg_Var</vt:lpstr>
      <vt:lpstr>'ADAD|0450-00'!Elect_chg_Var</vt:lpstr>
      <vt:lpstr>'ADAD|0456-00'!Elect_chg_Var</vt:lpstr>
      <vt:lpstr>'ADAK|0461-00'!Elect_chg_Var</vt:lpstr>
      <vt:lpstr>'ADAK|0462-00'!Elect_chg_Var</vt:lpstr>
      <vt:lpstr>'ADAK|0519-00'!Elect_chg_Var</vt:lpstr>
      <vt:lpstr>'ADAM|0001-00'!Elect_chg_Var</vt:lpstr>
      <vt:lpstr>'ADAM|0450-00'!Elect_chg_Var</vt:lpstr>
      <vt:lpstr>'ADAN|0456-00'!Elect_chg_Var</vt:lpstr>
      <vt:lpstr>'ADAN|0461-00'!Elect_chg_Var</vt:lpstr>
      <vt:lpstr>'ADAN|0462-00'!Elect_chg_Var</vt:lpstr>
      <vt:lpstr>Elect_chg_Var</vt:lpstr>
      <vt:lpstr>'ADAA|0001-00'!elect_FTP</vt:lpstr>
      <vt:lpstr>'ADAA|0365-00'!elect_FTP</vt:lpstr>
      <vt:lpstr>'ADAA|0450-00'!elect_FTP</vt:lpstr>
      <vt:lpstr>'ADAA|0519-00'!elect_FTP</vt:lpstr>
      <vt:lpstr>'ADAC|0365-00'!elect_FTP</vt:lpstr>
      <vt:lpstr>'ADAC|0450-00'!elect_FTP</vt:lpstr>
      <vt:lpstr>'ADAD|0450-00'!elect_FTP</vt:lpstr>
      <vt:lpstr>'ADAD|0456-00'!elect_FTP</vt:lpstr>
      <vt:lpstr>'ADAK|0461-00'!elect_FTP</vt:lpstr>
      <vt:lpstr>'ADAK|0462-00'!elect_FTP</vt:lpstr>
      <vt:lpstr>'ADAK|0519-00'!elect_FTP</vt:lpstr>
      <vt:lpstr>'ADAM|0001-00'!elect_FTP</vt:lpstr>
      <vt:lpstr>'ADAM|0450-00'!elect_FTP</vt:lpstr>
      <vt:lpstr>'ADAN|0456-00'!elect_FTP</vt:lpstr>
      <vt:lpstr>'ADAN|0461-00'!elect_FTP</vt:lpstr>
      <vt:lpstr>'ADAN|0462-00'!elect_FTP</vt:lpstr>
      <vt:lpstr>elect_FTP</vt:lpstr>
      <vt:lpstr>'ADAA|0001-00'!Elect_health</vt:lpstr>
      <vt:lpstr>'ADAA|0365-00'!Elect_health</vt:lpstr>
      <vt:lpstr>'ADAA|0450-00'!Elect_health</vt:lpstr>
      <vt:lpstr>'ADAA|0519-00'!Elect_health</vt:lpstr>
      <vt:lpstr>'ADAC|0365-00'!Elect_health</vt:lpstr>
      <vt:lpstr>'ADAC|0450-00'!Elect_health</vt:lpstr>
      <vt:lpstr>'ADAD|0450-00'!Elect_health</vt:lpstr>
      <vt:lpstr>'ADAD|0456-00'!Elect_health</vt:lpstr>
      <vt:lpstr>'ADAK|0461-00'!Elect_health</vt:lpstr>
      <vt:lpstr>'ADAK|0462-00'!Elect_health</vt:lpstr>
      <vt:lpstr>'ADAK|0519-00'!Elect_health</vt:lpstr>
      <vt:lpstr>'ADAM|0001-00'!Elect_health</vt:lpstr>
      <vt:lpstr>'ADAM|0450-00'!Elect_health</vt:lpstr>
      <vt:lpstr>'ADAN|0456-00'!Elect_health</vt:lpstr>
      <vt:lpstr>'ADAN|0461-00'!Elect_health</vt:lpstr>
      <vt:lpstr>'ADAN|0462-00'!Elect_health</vt:lpstr>
      <vt:lpstr>Elect_health</vt:lpstr>
      <vt:lpstr>'ADAA|0001-00'!Elect_name</vt:lpstr>
      <vt:lpstr>'ADAA|0365-00'!Elect_name</vt:lpstr>
      <vt:lpstr>'ADAA|0450-00'!Elect_name</vt:lpstr>
      <vt:lpstr>'ADAA|0519-00'!Elect_name</vt:lpstr>
      <vt:lpstr>'ADAC|0365-00'!Elect_name</vt:lpstr>
      <vt:lpstr>'ADAC|0450-00'!Elect_name</vt:lpstr>
      <vt:lpstr>'ADAD|0450-00'!Elect_name</vt:lpstr>
      <vt:lpstr>'ADAD|0456-00'!Elect_name</vt:lpstr>
      <vt:lpstr>'ADAK|0461-00'!Elect_name</vt:lpstr>
      <vt:lpstr>'ADAK|0462-00'!Elect_name</vt:lpstr>
      <vt:lpstr>'ADAK|0519-00'!Elect_name</vt:lpstr>
      <vt:lpstr>'ADAM|0001-00'!Elect_name</vt:lpstr>
      <vt:lpstr>'ADAM|0450-00'!Elect_name</vt:lpstr>
      <vt:lpstr>'ADAN|0456-00'!Elect_name</vt:lpstr>
      <vt:lpstr>'ADAN|0461-00'!Elect_name</vt:lpstr>
      <vt:lpstr>'ADAN|0462-00'!Elect_name</vt:lpstr>
      <vt:lpstr>Elect_name</vt:lpstr>
      <vt:lpstr>'ADAA|0001-00'!Elect_salary</vt:lpstr>
      <vt:lpstr>'ADAA|0365-00'!Elect_salary</vt:lpstr>
      <vt:lpstr>'ADAA|0450-00'!Elect_salary</vt:lpstr>
      <vt:lpstr>'ADAA|0519-00'!Elect_salary</vt:lpstr>
      <vt:lpstr>'ADAC|0365-00'!Elect_salary</vt:lpstr>
      <vt:lpstr>'ADAC|0450-00'!Elect_salary</vt:lpstr>
      <vt:lpstr>'ADAD|0450-00'!Elect_salary</vt:lpstr>
      <vt:lpstr>'ADAD|0456-00'!Elect_salary</vt:lpstr>
      <vt:lpstr>'ADAK|0461-00'!Elect_salary</vt:lpstr>
      <vt:lpstr>'ADAK|0462-00'!Elect_salary</vt:lpstr>
      <vt:lpstr>'ADAK|0519-00'!Elect_salary</vt:lpstr>
      <vt:lpstr>'ADAM|0001-00'!Elect_salary</vt:lpstr>
      <vt:lpstr>'ADAM|0450-00'!Elect_salary</vt:lpstr>
      <vt:lpstr>'ADAN|0456-00'!Elect_salary</vt:lpstr>
      <vt:lpstr>'ADAN|0461-00'!Elect_salary</vt:lpstr>
      <vt:lpstr>'ADAN|0462-00'!Elect_salary</vt:lpstr>
      <vt:lpstr>Elect_salary</vt:lpstr>
      <vt:lpstr>'ADAA|0001-00'!Elect_Var</vt:lpstr>
      <vt:lpstr>'ADAA|0365-00'!Elect_Var</vt:lpstr>
      <vt:lpstr>'ADAA|0450-00'!Elect_Var</vt:lpstr>
      <vt:lpstr>'ADAA|0519-00'!Elect_Var</vt:lpstr>
      <vt:lpstr>'ADAC|0365-00'!Elect_Var</vt:lpstr>
      <vt:lpstr>'ADAC|0450-00'!Elect_Var</vt:lpstr>
      <vt:lpstr>'ADAD|0450-00'!Elect_Var</vt:lpstr>
      <vt:lpstr>'ADAD|0456-00'!Elect_Var</vt:lpstr>
      <vt:lpstr>'ADAK|0461-00'!Elect_Var</vt:lpstr>
      <vt:lpstr>'ADAK|0462-00'!Elect_Var</vt:lpstr>
      <vt:lpstr>'ADAK|0519-00'!Elect_Var</vt:lpstr>
      <vt:lpstr>'ADAM|0001-00'!Elect_Var</vt:lpstr>
      <vt:lpstr>'ADAM|0450-00'!Elect_Var</vt:lpstr>
      <vt:lpstr>'ADAN|0456-00'!Elect_Var</vt:lpstr>
      <vt:lpstr>'ADAN|0461-00'!Elect_Var</vt:lpstr>
      <vt:lpstr>'ADAN|0462-00'!Elect_Var</vt:lpstr>
      <vt:lpstr>Elect_Var</vt:lpstr>
      <vt:lpstr>'ADAA|0001-00'!Elect_VarBen</vt:lpstr>
      <vt:lpstr>'ADAA|0365-00'!Elect_VarBen</vt:lpstr>
      <vt:lpstr>'ADAA|0450-00'!Elect_VarBen</vt:lpstr>
      <vt:lpstr>'ADAA|0519-00'!Elect_VarBen</vt:lpstr>
      <vt:lpstr>'ADAC|0365-00'!Elect_VarBen</vt:lpstr>
      <vt:lpstr>'ADAC|0450-00'!Elect_VarBen</vt:lpstr>
      <vt:lpstr>'ADAD|0450-00'!Elect_VarBen</vt:lpstr>
      <vt:lpstr>'ADAD|0456-00'!Elect_VarBen</vt:lpstr>
      <vt:lpstr>'ADAK|0461-00'!Elect_VarBen</vt:lpstr>
      <vt:lpstr>'ADAK|0462-00'!Elect_VarBen</vt:lpstr>
      <vt:lpstr>'ADAK|0519-00'!Elect_VarBen</vt:lpstr>
      <vt:lpstr>'ADAM|0001-00'!Elect_VarBen</vt:lpstr>
      <vt:lpstr>'ADAM|0450-00'!Elect_VarBen</vt:lpstr>
      <vt:lpstr>'ADAN|0456-00'!Elect_VarBen</vt:lpstr>
      <vt:lpstr>'ADAN|0461-00'!Elect_VarBen</vt:lpstr>
      <vt:lpstr>'ADAN|0462-00'!Elect_VarBen</vt:lpstr>
      <vt:lpstr>Elect_VarBen</vt:lpstr>
      <vt:lpstr>ElectVB</vt:lpstr>
      <vt:lpstr>ElectVBBY</vt:lpstr>
      <vt:lpstr>ElectVBCHG</vt:lpstr>
      <vt:lpstr>FillRate_Avg</vt:lpstr>
      <vt:lpstr>'ADAA|0001-00'!FiscalYear</vt:lpstr>
      <vt:lpstr>'ADAA|0365-00'!FiscalYear</vt:lpstr>
      <vt:lpstr>'ADAA|0450-00'!FiscalYear</vt:lpstr>
      <vt:lpstr>'ADAA|0519-00'!FiscalYear</vt:lpstr>
      <vt:lpstr>'ADAC|0365-00'!FiscalYear</vt:lpstr>
      <vt:lpstr>'ADAC|0450-00'!FiscalYear</vt:lpstr>
      <vt:lpstr>'ADAD|0450-00'!FiscalYear</vt:lpstr>
      <vt:lpstr>'ADAD|0456-00'!FiscalYear</vt:lpstr>
      <vt:lpstr>'ADAK|0461-00'!FiscalYear</vt:lpstr>
      <vt:lpstr>'ADAK|0462-00'!FiscalYear</vt:lpstr>
      <vt:lpstr>'ADAK|0519-00'!FiscalYear</vt:lpstr>
      <vt:lpstr>'ADAM|0001-00'!FiscalYear</vt:lpstr>
      <vt:lpstr>'ADAM|0450-00'!FiscalYear</vt:lpstr>
      <vt:lpstr>'ADAN|0456-00'!FiscalYear</vt:lpstr>
      <vt:lpstr>'ADAN|0461-00'!FiscalYear</vt:lpstr>
      <vt:lpstr>'ADAN|0462-00'!FiscalYear</vt:lpstr>
      <vt:lpstr>FiscalYear</vt:lpstr>
      <vt:lpstr>'ADAA|0001-00'!FundName</vt:lpstr>
      <vt:lpstr>'ADAA|0365-00'!FundName</vt:lpstr>
      <vt:lpstr>'ADAA|0450-00'!FundName</vt:lpstr>
      <vt:lpstr>'ADAA|0519-00'!FundName</vt:lpstr>
      <vt:lpstr>'ADAC|0365-00'!FundName</vt:lpstr>
      <vt:lpstr>'ADAC|0450-00'!FundName</vt:lpstr>
      <vt:lpstr>'ADAD|0450-00'!FundName</vt:lpstr>
      <vt:lpstr>'ADAD|0456-00'!FundName</vt:lpstr>
      <vt:lpstr>'ADAK|0461-00'!FundName</vt:lpstr>
      <vt:lpstr>'ADAK|0462-00'!FundName</vt:lpstr>
      <vt:lpstr>'ADAK|0519-00'!FundName</vt:lpstr>
      <vt:lpstr>'ADAM|0001-00'!FundName</vt:lpstr>
      <vt:lpstr>'ADAM|0450-00'!FundName</vt:lpstr>
      <vt:lpstr>'ADAN|0456-00'!FundName</vt:lpstr>
      <vt:lpstr>'ADAN|0461-00'!FundName</vt:lpstr>
      <vt:lpstr>'ADAN|0462-00'!FundName</vt:lpstr>
      <vt:lpstr>FundName</vt:lpstr>
      <vt:lpstr>'ADAA|0001-00'!FundNum</vt:lpstr>
      <vt:lpstr>'ADAA|0365-00'!FundNum</vt:lpstr>
      <vt:lpstr>'ADAA|0450-00'!FundNum</vt:lpstr>
      <vt:lpstr>'ADAA|0519-00'!FundNum</vt:lpstr>
      <vt:lpstr>'ADAC|0365-00'!FundNum</vt:lpstr>
      <vt:lpstr>'ADAC|0450-00'!FundNum</vt:lpstr>
      <vt:lpstr>'ADAD|0450-00'!FundNum</vt:lpstr>
      <vt:lpstr>'ADAD|0456-00'!FundNum</vt:lpstr>
      <vt:lpstr>'ADAK|0461-00'!FundNum</vt:lpstr>
      <vt:lpstr>'ADAK|0462-00'!FundNum</vt:lpstr>
      <vt:lpstr>'ADAK|0519-00'!FundNum</vt:lpstr>
      <vt:lpstr>'ADAM|0001-00'!FundNum</vt:lpstr>
      <vt:lpstr>'ADAM|0450-00'!FundNum</vt:lpstr>
      <vt:lpstr>'ADAN|0456-00'!FundNum</vt:lpstr>
      <vt:lpstr>'ADAN|0461-00'!FundNum</vt:lpstr>
      <vt:lpstr>'ADAN|0462-00'!FundNum</vt:lpstr>
      <vt:lpstr>FundNum</vt:lpstr>
      <vt:lpstr>'ADAA|0001-00'!FundNumber</vt:lpstr>
      <vt:lpstr>'ADAA|0365-00'!FundNumber</vt:lpstr>
      <vt:lpstr>'ADAA|0450-00'!FundNumber</vt:lpstr>
      <vt:lpstr>'ADAA|0519-00'!FundNumber</vt:lpstr>
      <vt:lpstr>'ADAC|0365-00'!FundNumber</vt:lpstr>
      <vt:lpstr>'ADAC|0450-00'!FundNumber</vt:lpstr>
      <vt:lpstr>'ADAD|0450-00'!FundNumber</vt:lpstr>
      <vt:lpstr>'ADAD|0456-00'!FundNumber</vt:lpstr>
      <vt:lpstr>'ADAK|0461-00'!FundNumber</vt:lpstr>
      <vt:lpstr>'ADAK|0462-00'!FundNumber</vt:lpstr>
      <vt:lpstr>'ADAK|0519-00'!FundNumber</vt:lpstr>
      <vt:lpstr>'ADAM|0001-00'!FundNumber</vt:lpstr>
      <vt:lpstr>'ADAM|0450-00'!FundNumber</vt:lpstr>
      <vt:lpstr>'ADAN|0456-00'!FundNumber</vt:lpstr>
      <vt:lpstr>'ADAN|0461-00'!FundNumber</vt:lpstr>
      <vt:lpstr>'ADAN|0462-00'!FundNumber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'ADAA|0001-00'!Group_name</vt:lpstr>
      <vt:lpstr>'ADAA|0365-00'!Group_name</vt:lpstr>
      <vt:lpstr>'ADAA|0450-00'!Group_name</vt:lpstr>
      <vt:lpstr>'ADAA|0519-00'!Group_name</vt:lpstr>
      <vt:lpstr>'ADAC|0365-00'!Group_name</vt:lpstr>
      <vt:lpstr>'ADAC|0450-00'!Group_name</vt:lpstr>
      <vt:lpstr>'ADAD|0450-00'!Group_name</vt:lpstr>
      <vt:lpstr>'ADAD|0456-00'!Group_name</vt:lpstr>
      <vt:lpstr>'ADAK|0461-00'!Group_name</vt:lpstr>
      <vt:lpstr>'ADAK|0462-00'!Group_name</vt:lpstr>
      <vt:lpstr>'ADAK|0519-00'!Group_name</vt:lpstr>
      <vt:lpstr>'ADAM|0001-00'!Group_name</vt:lpstr>
      <vt:lpstr>'ADAM|0450-00'!Group_name</vt:lpstr>
      <vt:lpstr>'ADAN|0456-00'!Group_name</vt:lpstr>
      <vt:lpstr>'ADAN|0461-00'!Group_name</vt:lpstr>
      <vt:lpstr>'ADAN|0462-00'!Group_name</vt:lpstr>
      <vt:lpstr>Group_name</vt:lpstr>
      <vt:lpstr>'ADAA|0001-00'!GroupFxdBen</vt:lpstr>
      <vt:lpstr>'ADAA|0365-00'!GroupFxdBen</vt:lpstr>
      <vt:lpstr>'ADAA|0450-00'!GroupFxdBen</vt:lpstr>
      <vt:lpstr>'ADAA|0519-00'!GroupFxdBen</vt:lpstr>
      <vt:lpstr>'ADAC|0365-00'!GroupFxdBen</vt:lpstr>
      <vt:lpstr>'ADAC|0450-00'!GroupFxdBen</vt:lpstr>
      <vt:lpstr>'ADAD|0450-00'!GroupFxdBen</vt:lpstr>
      <vt:lpstr>'ADAD|0456-00'!GroupFxdBen</vt:lpstr>
      <vt:lpstr>'ADAK|0461-00'!GroupFxdBen</vt:lpstr>
      <vt:lpstr>'ADAK|0462-00'!GroupFxdBen</vt:lpstr>
      <vt:lpstr>'ADAK|0519-00'!GroupFxdBen</vt:lpstr>
      <vt:lpstr>'ADAM|0001-00'!GroupFxdBen</vt:lpstr>
      <vt:lpstr>'ADAM|0450-00'!GroupFxdBen</vt:lpstr>
      <vt:lpstr>'ADAN|0456-00'!GroupFxdBen</vt:lpstr>
      <vt:lpstr>'ADAN|0461-00'!GroupFxdBen</vt:lpstr>
      <vt:lpstr>'ADAN|0462-00'!GroupFxdBen</vt:lpstr>
      <vt:lpstr>GroupFxdBen</vt:lpstr>
      <vt:lpstr>'ADAA|0001-00'!GroupSalary</vt:lpstr>
      <vt:lpstr>'ADAA|0365-00'!GroupSalary</vt:lpstr>
      <vt:lpstr>'ADAA|0450-00'!GroupSalary</vt:lpstr>
      <vt:lpstr>'ADAA|0519-00'!GroupSalary</vt:lpstr>
      <vt:lpstr>'ADAC|0365-00'!GroupSalary</vt:lpstr>
      <vt:lpstr>'ADAC|0450-00'!GroupSalary</vt:lpstr>
      <vt:lpstr>'ADAD|0450-00'!GroupSalary</vt:lpstr>
      <vt:lpstr>'ADAD|0456-00'!GroupSalary</vt:lpstr>
      <vt:lpstr>'ADAK|0461-00'!GroupSalary</vt:lpstr>
      <vt:lpstr>'ADAK|0462-00'!GroupSalary</vt:lpstr>
      <vt:lpstr>'ADAK|0519-00'!GroupSalary</vt:lpstr>
      <vt:lpstr>'ADAM|0001-00'!GroupSalary</vt:lpstr>
      <vt:lpstr>'ADAM|0450-00'!GroupSalary</vt:lpstr>
      <vt:lpstr>'ADAN|0456-00'!GroupSalary</vt:lpstr>
      <vt:lpstr>'ADAN|0461-00'!GroupSalary</vt:lpstr>
      <vt:lpstr>'ADAN|0462-00'!GroupSalary</vt:lpstr>
      <vt:lpstr>GroupSalary</vt:lpstr>
      <vt:lpstr>'ADAA|0001-00'!GroupVarBen</vt:lpstr>
      <vt:lpstr>'ADAA|0365-00'!GroupVarBen</vt:lpstr>
      <vt:lpstr>'ADAA|0450-00'!GroupVarBen</vt:lpstr>
      <vt:lpstr>'ADAA|0519-00'!GroupVarBen</vt:lpstr>
      <vt:lpstr>'ADAC|0365-00'!GroupVarBen</vt:lpstr>
      <vt:lpstr>'ADAC|0450-00'!GroupVarBen</vt:lpstr>
      <vt:lpstr>'ADAD|0450-00'!GroupVarBen</vt:lpstr>
      <vt:lpstr>'ADAD|0456-00'!GroupVarBen</vt:lpstr>
      <vt:lpstr>'ADAK|0461-00'!GroupVarBen</vt:lpstr>
      <vt:lpstr>'ADAK|0462-00'!GroupVarBen</vt:lpstr>
      <vt:lpstr>'ADAK|0519-00'!GroupVarBen</vt:lpstr>
      <vt:lpstr>'ADAM|0001-00'!GroupVarBen</vt:lpstr>
      <vt:lpstr>'ADAM|0450-00'!GroupVarBen</vt:lpstr>
      <vt:lpstr>'ADAN|0456-00'!GroupVarBen</vt:lpstr>
      <vt:lpstr>'ADAN|0461-00'!GroupVarBen</vt:lpstr>
      <vt:lpstr>'ADAN|0462-00'!GroupVarBen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'ADAA|0001-00'!LUMAFund</vt:lpstr>
      <vt:lpstr>'ADAA|0365-00'!LUMAFund</vt:lpstr>
      <vt:lpstr>'ADAA|0450-00'!LUMAFund</vt:lpstr>
      <vt:lpstr>'ADAA|0519-00'!LUMAFund</vt:lpstr>
      <vt:lpstr>'ADAC|0365-00'!LUMAFund</vt:lpstr>
      <vt:lpstr>'ADAC|0450-00'!LUMAFund</vt:lpstr>
      <vt:lpstr>'ADAD|0450-00'!LUMAFund</vt:lpstr>
      <vt:lpstr>'ADAD|0456-00'!LUMAFund</vt:lpstr>
      <vt:lpstr>'ADAK|0461-00'!LUMAFund</vt:lpstr>
      <vt:lpstr>'ADAK|0462-00'!LUMAFund</vt:lpstr>
      <vt:lpstr>'ADAK|0519-00'!LUMAFund</vt:lpstr>
      <vt:lpstr>'ADAM|0001-00'!LUMAFund</vt:lpstr>
      <vt:lpstr>'ADAM|0450-00'!LUMAFund</vt:lpstr>
      <vt:lpstr>'ADAN|0456-00'!LUMAFund</vt:lpstr>
      <vt:lpstr>'ADAN|0461-00'!LUMAFund</vt:lpstr>
      <vt:lpstr>'ADAN|0462-00'!LUMAFund</vt:lpstr>
      <vt:lpstr>LUMAFund</vt:lpstr>
      <vt:lpstr>MAXSSDI</vt:lpstr>
      <vt:lpstr>MAXSSDIBY</vt:lpstr>
      <vt:lpstr>'ADAA|0001-00'!NEW_AdjGroup</vt:lpstr>
      <vt:lpstr>'ADAA|0365-00'!NEW_AdjGroup</vt:lpstr>
      <vt:lpstr>'ADAA|0450-00'!NEW_AdjGroup</vt:lpstr>
      <vt:lpstr>'ADAA|0519-00'!NEW_AdjGroup</vt:lpstr>
      <vt:lpstr>'ADAC|0365-00'!NEW_AdjGroup</vt:lpstr>
      <vt:lpstr>'ADAC|0450-00'!NEW_AdjGroup</vt:lpstr>
      <vt:lpstr>'ADAD|0450-00'!NEW_AdjGroup</vt:lpstr>
      <vt:lpstr>'ADAD|0456-00'!NEW_AdjGroup</vt:lpstr>
      <vt:lpstr>'ADAK|0461-00'!NEW_AdjGroup</vt:lpstr>
      <vt:lpstr>'ADAK|0462-00'!NEW_AdjGroup</vt:lpstr>
      <vt:lpstr>'ADAK|0519-00'!NEW_AdjGroup</vt:lpstr>
      <vt:lpstr>'ADAM|0001-00'!NEW_AdjGroup</vt:lpstr>
      <vt:lpstr>'ADAM|0450-00'!NEW_AdjGroup</vt:lpstr>
      <vt:lpstr>'ADAN|0456-00'!NEW_AdjGroup</vt:lpstr>
      <vt:lpstr>'ADAN|0461-00'!NEW_AdjGroup</vt:lpstr>
      <vt:lpstr>'ADAN|0462-00'!NEW_AdjGroup</vt:lpstr>
      <vt:lpstr>NEW_AdjGroup</vt:lpstr>
      <vt:lpstr>'ADAA|0001-00'!NEW_AdjGroupSalary</vt:lpstr>
      <vt:lpstr>'ADAA|0365-00'!NEW_AdjGroupSalary</vt:lpstr>
      <vt:lpstr>'ADAA|0450-00'!NEW_AdjGroupSalary</vt:lpstr>
      <vt:lpstr>'ADAA|0519-00'!NEW_AdjGroupSalary</vt:lpstr>
      <vt:lpstr>'ADAC|0365-00'!NEW_AdjGroupSalary</vt:lpstr>
      <vt:lpstr>'ADAC|0450-00'!NEW_AdjGroupSalary</vt:lpstr>
      <vt:lpstr>'ADAD|0450-00'!NEW_AdjGroupSalary</vt:lpstr>
      <vt:lpstr>'ADAD|0456-00'!NEW_AdjGroupSalary</vt:lpstr>
      <vt:lpstr>'ADAK|0461-00'!NEW_AdjGroupSalary</vt:lpstr>
      <vt:lpstr>'ADAK|0462-00'!NEW_AdjGroupSalary</vt:lpstr>
      <vt:lpstr>'ADAK|0519-00'!NEW_AdjGroupSalary</vt:lpstr>
      <vt:lpstr>'ADAM|0001-00'!NEW_AdjGroupSalary</vt:lpstr>
      <vt:lpstr>'ADAM|0450-00'!NEW_AdjGroupSalary</vt:lpstr>
      <vt:lpstr>'ADAN|0456-00'!NEW_AdjGroupSalary</vt:lpstr>
      <vt:lpstr>'ADAN|0461-00'!NEW_AdjGroupSalary</vt:lpstr>
      <vt:lpstr>'ADAN|0462-00'!NEW_AdjGroupSalary</vt:lpstr>
      <vt:lpstr>NEW_AdjGroupSalary</vt:lpstr>
      <vt:lpstr>'ADAA|0001-00'!NEW_AdjGroupVB</vt:lpstr>
      <vt:lpstr>'ADAA|0365-00'!NEW_AdjGroupVB</vt:lpstr>
      <vt:lpstr>'ADAA|0450-00'!NEW_AdjGroupVB</vt:lpstr>
      <vt:lpstr>'ADAA|0519-00'!NEW_AdjGroupVB</vt:lpstr>
      <vt:lpstr>'ADAC|0365-00'!NEW_AdjGroupVB</vt:lpstr>
      <vt:lpstr>'ADAC|0450-00'!NEW_AdjGroupVB</vt:lpstr>
      <vt:lpstr>'ADAD|0450-00'!NEW_AdjGroupVB</vt:lpstr>
      <vt:lpstr>'ADAD|0456-00'!NEW_AdjGroupVB</vt:lpstr>
      <vt:lpstr>'ADAK|0461-00'!NEW_AdjGroupVB</vt:lpstr>
      <vt:lpstr>'ADAK|0462-00'!NEW_AdjGroupVB</vt:lpstr>
      <vt:lpstr>'ADAK|0519-00'!NEW_AdjGroupVB</vt:lpstr>
      <vt:lpstr>'ADAM|0001-00'!NEW_AdjGroupVB</vt:lpstr>
      <vt:lpstr>'ADAM|0450-00'!NEW_AdjGroupVB</vt:lpstr>
      <vt:lpstr>'ADAN|0456-00'!NEW_AdjGroupVB</vt:lpstr>
      <vt:lpstr>'ADAN|0461-00'!NEW_AdjGroupVB</vt:lpstr>
      <vt:lpstr>'ADAN|0462-00'!NEW_AdjGroupVB</vt:lpstr>
      <vt:lpstr>NEW_AdjGroupVB</vt:lpstr>
      <vt:lpstr>'ADAA|0001-00'!NEW_AdjONLYGroup</vt:lpstr>
      <vt:lpstr>'ADAA|0365-00'!NEW_AdjONLYGroup</vt:lpstr>
      <vt:lpstr>'ADAA|0450-00'!NEW_AdjONLYGroup</vt:lpstr>
      <vt:lpstr>'ADAA|0519-00'!NEW_AdjONLYGroup</vt:lpstr>
      <vt:lpstr>'ADAC|0365-00'!NEW_AdjONLYGroup</vt:lpstr>
      <vt:lpstr>'ADAC|0450-00'!NEW_AdjONLYGroup</vt:lpstr>
      <vt:lpstr>'ADAD|0450-00'!NEW_AdjONLYGroup</vt:lpstr>
      <vt:lpstr>'ADAD|0456-00'!NEW_AdjONLYGroup</vt:lpstr>
      <vt:lpstr>'ADAK|0461-00'!NEW_AdjONLYGroup</vt:lpstr>
      <vt:lpstr>'ADAK|0462-00'!NEW_AdjONLYGroup</vt:lpstr>
      <vt:lpstr>'ADAK|0519-00'!NEW_AdjONLYGroup</vt:lpstr>
      <vt:lpstr>'ADAM|0001-00'!NEW_AdjONLYGroup</vt:lpstr>
      <vt:lpstr>'ADAM|0450-00'!NEW_AdjONLYGroup</vt:lpstr>
      <vt:lpstr>'ADAN|0456-00'!NEW_AdjONLYGroup</vt:lpstr>
      <vt:lpstr>'ADAN|0461-00'!NEW_AdjONLYGroup</vt:lpstr>
      <vt:lpstr>'ADAN|0462-00'!NEW_AdjONLYGroup</vt:lpstr>
      <vt:lpstr>NEW_AdjONLYGroup</vt:lpstr>
      <vt:lpstr>'ADAA|0001-00'!NEW_AdjONLYGroupSalary</vt:lpstr>
      <vt:lpstr>'ADAA|0365-00'!NEW_AdjONLYGroupSalary</vt:lpstr>
      <vt:lpstr>'ADAA|0450-00'!NEW_AdjONLYGroupSalary</vt:lpstr>
      <vt:lpstr>'ADAA|0519-00'!NEW_AdjONLYGroupSalary</vt:lpstr>
      <vt:lpstr>'ADAC|0365-00'!NEW_AdjONLYGroupSalary</vt:lpstr>
      <vt:lpstr>'ADAC|0450-00'!NEW_AdjONLYGroupSalary</vt:lpstr>
      <vt:lpstr>'ADAD|0450-00'!NEW_AdjONLYGroupSalary</vt:lpstr>
      <vt:lpstr>'ADAD|0456-00'!NEW_AdjONLYGroupSalary</vt:lpstr>
      <vt:lpstr>'ADAK|0461-00'!NEW_AdjONLYGroupSalary</vt:lpstr>
      <vt:lpstr>'ADAK|0462-00'!NEW_AdjONLYGroupSalary</vt:lpstr>
      <vt:lpstr>'ADAK|0519-00'!NEW_AdjONLYGroupSalary</vt:lpstr>
      <vt:lpstr>'ADAM|0001-00'!NEW_AdjONLYGroupSalary</vt:lpstr>
      <vt:lpstr>'ADAM|0450-00'!NEW_AdjONLYGroupSalary</vt:lpstr>
      <vt:lpstr>'ADAN|0456-00'!NEW_AdjONLYGroupSalary</vt:lpstr>
      <vt:lpstr>'ADAN|0461-00'!NEW_AdjONLYGroupSalary</vt:lpstr>
      <vt:lpstr>'ADAN|0462-00'!NEW_AdjONLYGroupSalary</vt:lpstr>
      <vt:lpstr>NEW_AdjONLYGroupSalary</vt:lpstr>
      <vt:lpstr>'ADAA|0001-00'!NEW_AdjONLYGroupVB</vt:lpstr>
      <vt:lpstr>'ADAA|0365-00'!NEW_AdjONLYGroupVB</vt:lpstr>
      <vt:lpstr>'ADAA|0450-00'!NEW_AdjONLYGroupVB</vt:lpstr>
      <vt:lpstr>'ADAA|0519-00'!NEW_AdjONLYGroupVB</vt:lpstr>
      <vt:lpstr>'ADAC|0365-00'!NEW_AdjONLYGroupVB</vt:lpstr>
      <vt:lpstr>'ADAC|0450-00'!NEW_AdjONLYGroupVB</vt:lpstr>
      <vt:lpstr>'ADAD|0450-00'!NEW_AdjONLYGroupVB</vt:lpstr>
      <vt:lpstr>'ADAD|0456-00'!NEW_AdjONLYGroupVB</vt:lpstr>
      <vt:lpstr>'ADAK|0461-00'!NEW_AdjONLYGroupVB</vt:lpstr>
      <vt:lpstr>'ADAK|0462-00'!NEW_AdjONLYGroupVB</vt:lpstr>
      <vt:lpstr>'ADAK|0519-00'!NEW_AdjONLYGroupVB</vt:lpstr>
      <vt:lpstr>'ADAM|0001-00'!NEW_AdjONLYGroupVB</vt:lpstr>
      <vt:lpstr>'ADAM|0450-00'!NEW_AdjONLYGroupVB</vt:lpstr>
      <vt:lpstr>'ADAN|0456-00'!NEW_AdjONLYGroupVB</vt:lpstr>
      <vt:lpstr>'ADAN|0461-00'!NEW_AdjONLYGroupVB</vt:lpstr>
      <vt:lpstr>'ADAN|0462-00'!NEW_AdjONLYGroupVB</vt:lpstr>
      <vt:lpstr>NEW_AdjONLYGroupVB</vt:lpstr>
      <vt:lpstr>'ADAA|0001-00'!NEW_AdjONLYPerm</vt:lpstr>
      <vt:lpstr>'ADAA|0365-00'!NEW_AdjONLYPerm</vt:lpstr>
      <vt:lpstr>'ADAA|0450-00'!NEW_AdjONLYPerm</vt:lpstr>
      <vt:lpstr>'ADAA|0519-00'!NEW_AdjONLYPerm</vt:lpstr>
      <vt:lpstr>'ADAC|0365-00'!NEW_AdjONLYPerm</vt:lpstr>
      <vt:lpstr>'ADAC|0450-00'!NEW_AdjONLYPerm</vt:lpstr>
      <vt:lpstr>'ADAD|0450-00'!NEW_AdjONLYPerm</vt:lpstr>
      <vt:lpstr>'ADAD|0456-00'!NEW_AdjONLYPerm</vt:lpstr>
      <vt:lpstr>'ADAK|0461-00'!NEW_AdjONLYPerm</vt:lpstr>
      <vt:lpstr>'ADAK|0462-00'!NEW_AdjONLYPerm</vt:lpstr>
      <vt:lpstr>'ADAK|0519-00'!NEW_AdjONLYPerm</vt:lpstr>
      <vt:lpstr>'ADAM|0001-00'!NEW_AdjONLYPerm</vt:lpstr>
      <vt:lpstr>'ADAM|0450-00'!NEW_AdjONLYPerm</vt:lpstr>
      <vt:lpstr>'ADAN|0456-00'!NEW_AdjONLYPerm</vt:lpstr>
      <vt:lpstr>'ADAN|0461-00'!NEW_AdjONLYPerm</vt:lpstr>
      <vt:lpstr>'ADAN|0462-00'!NEW_AdjONLYPerm</vt:lpstr>
      <vt:lpstr>NEW_AdjONLYPerm</vt:lpstr>
      <vt:lpstr>'ADAA|0001-00'!NEW_AdjONLYPermSalary</vt:lpstr>
      <vt:lpstr>'ADAA|0365-00'!NEW_AdjONLYPermSalary</vt:lpstr>
      <vt:lpstr>'ADAA|0450-00'!NEW_AdjONLYPermSalary</vt:lpstr>
      <vt:lpstr>'ADAA|0519-00'!NEW_AdjONLYPermSalary</vt:lpstr>
      <vt:lpstr>'ADAC|0365-00'!NEW_AdjONLYPermSalary</vt:lpstr>
      <vt:lpstr>'ADAC|0450-00'!NEW_AdjONLYPermSalary</vt:lpstr>
      <vt:lpstr>'ADAD|0450-00'!NEW_AdjONLYPermSalary</vt:lpstr>
      <vt:lpstr>'ADAD|0456-00'!NEW_AdjONLYPermSalary</vt:lpstr>
      <vt:lpstr>'ADAK|0461-00'!NEW_AdjONLYPermSalary</vt:lpstr>
      <vt:lpstr>'ADAK|0462-00'!NEW_AdjONLYPermSalary</vt:lpstr>
      <vt:lpstr>'ADAK|0519-00'!NEW_AdjONLYPermSalary</vt:lpstr>
      <vt:lpstr>'ADAM|0001-00'!NEW_AdjONLYPermSalary</vt:lpstr>
      <vt:lpstr>'ADAM|0450-00'!NEW_AdjONLYPermSalary</vt:lpstr>
      <vt:lpstr>'ADAN|0456-00'!NEW_AdjONLYPermSalary</vt:lpstr>
      <vt:lpstr>'ADAN|0461-00'!NEW_AdjONLYPermSalary</vt:lpstr>
      <vt:lpstr>'ADAN|0462-00'!NEW_AdjONLYPermSalary</vt:lpstr>
      <vt:lpstr>NEW_AdjONLYPermSalary</vt:lpstr>
      <vt:lpstr>'ADAA|0001-00'!NEW_AdjONLYPermVB</vt:lpstr>
      <vt:lpstr>'ADAA|0365-00'!NEW_AdjONLYPermVB</vt:lpstr>
      <vt:lpstr>'ADAA|0450-00'!NEW_AdjONLYPermVB</vt:lpstr>
      <vt:lpstr>'ADAA|0519-00'!NEW_AdjONLYPermVB</vt:lpstr>
      <vt:lpstr>'ADAC|0365-00'!NEW_AdjONLYPermVB</vt:lpstr>
      <vt:lpstr>'ADAC|0450-00'!NEW_AdjONLYPermVB</vt:lpstr>
      <vt:lpstr>'ADAD|0450-00'!NEW_AdjONLYPermVB</vt:lpstr>
      <vt:lpstr>'ADAD|0456-00'!NEW_AdjONLYPermVB</vt:lpstr>
      <vt:lpstr>'ADAK|0461-00'!NEW_AdjONLYPermVB</vt:lpstr>
      <vt:lpstr>'ADAK|0462-00'!NEW_AdjONLYPermVB</vt:lpstr>
      <vt:lpstr>'ADAK|0519-00'!NEW_AdjONLYPermVB</vt:lpstr>
      <vt:lpstr>'ADAM|0001-00'!NEW_AdjONLYPermVB</vt:lpstr>
      <vt:lpstr>'ADAM|0450-00'!NEW_AdjONLYPermVB</vt:lpstr>
      <vt:lpstr>'ADAN|0456-00'!NEW_AdjONLYPermVB</vt:lpstr>
      <vt:lpstr>'ADAN|0461-00'!NEW_AdjONLYPermVB</vt:lpstr>
      <vt:lpstr>'ADAN|0462-00'!NEW_AdjONLYPermVB</vt:lpstr>
      <vt:lpstr>NEW_AdjONLYPermVB</vt:lpstr>
      <vt:lpstr>'ADAA|0001-00'!NEW_AdjPerm</vt:lpstr>
      <vt:lpstr>'ADAA|0365-00'!NEW_AdjPerm</vt:lpstr>
      <vt:lpstr>'ADAA|0450-00'!NEW_AdjPerm</vt:lpstr>
      <vt:lpstr>'ADAA|0519-00'!NEW_AdjPerm</vt:lpstr>
      <vt:lpstr>'ADAC|0365-00'!NEW_AdjPerm</vt:lpstr>
      <vt:lpstr>'ADAC|0450-00'!NEW_AdjPerm</vt:lpstr>
      <vt:lpstr>'ADAD|0450-00'!NEW_AdjPerm</vt:lpstr>
      <vt:lpstr>'ADAD|0456-00'!NEW_AdjPerm</vt:lpstr>
      <vt:lpstr>'ADAK|0461-00'!NEW_AdjPerm</vt:lpstr>
      <vt:lpstr>'ADAK|0462-00'!NEW_AdjPerm</vt:lpstr>
      <vt:lpstr>'ADAK|0519-00'!NEW_AdjPerm</vt:lpstr>
      <vt:lpstr>'ADAM|0001-00'!NEW_AdjPerm</vt:lpstr>
      <vt:lpstr>'ADAM|0450-00'!NEW_AdjPerm</vt:lpstr>
      <vt:lpstr>'ADAN|0456-00'!NEW_AdjPerm</vt:lpstr>
      <vt:lpstr>'ADAN|0461-00'!NEW_AdjPerm</vt:lpstr>
      <vt:lpstr>'ADAN|0462-00'!NEW_AdjPerm</vt:lpstr>
      <vt:lpstr>NEW_AdjPerm</vt:lpstr>
      <vt:lpstr>'ADAA|0001-00'!NEW_AdjPermSalary</vt:lpstr>
      <vt:lpstr>'ADAA|0365-00'!NEW_AdjPermSalary</vt:lpstr>
      <vt:lpstr>'ADAA|0450-00'!NEW_AdjPermSalary</vt:lpstr>
      <vt:lpstr>'ADAA|0519-00'!NEW_AdjPermSalary</vt:lpstr>
      <vt:lpstr>'ADAC|0365-00'!NEW_AdjPermSalary</vt:lpstr>
      <vt:lpstr>'ADAC|0450-00'!NEW_AdjPermSalary</vt:lpstr>
      <vt:lpstr>'ADAD|0450-00'!NEW_AdjPermSalary</vt:lpstr>
      <vt:lpstr>'ADAD|0456-00'!NEW_AdjPermSalary</vt:lpstr>
      <vt:lpstr>'ADAK|0461-00'!NEW_AdjPermSalary</vt:lpstr>
      <vt:lpstr>'ADAK|0462-00'!NEW_AdjPermSalary</vt:lpstr>
      <vt:lpstr>'ADAK|0519-00'!NEW_AdjPermSalary</vt:lpstr>
      <vt:lpstr>'ADAM|0001-00'!NEW_AdjPermSalary</vt:lpstr>
      <vt:lpstr>'ADAM|0450-00'!NEW_AdjPermSalary</vt:lpstr>
      <vt:lpstr>'ADAN|0456-00'!NEW_AdjPermSalary</vt:lpstr>
      <vt:lpstr>'ADAN|0461-00'!NEW_AdjPermSalary</vt:lpstr>
      <vt:lpstr>'ADAN|0462-00'!NEW_AdjPermSalary</vt:lpstr>
      <vt:lpstr>NEW_AdjPermSalary</vt:lpstr>
      <vt:lpstr>'ADAA|0001-00'!NEW_AdjPermVB</vt:lpstr>
      <vt:lpstr>'ADAA|0365-00'!NEW_AdjPermVB</vt:lpstr>
      <vt:lpstr>'ADAA|0450-00'!NEW_AdjPermVB</vt:lpstr>
      <vt:lpstr>'ADAA|0519-00'!NEW_AdjPermVB</vt:lpstr>
      <vt:lpstr>'ADAC|0365-00'!NEW_AdjPermVB</vt:lpstr>
      <vt:lpstr>'ADAC|0450-00'!NEW_AdjPermVB</vt:lpstr>
      <vt:lpstr>'ADAD|0450-00'!NEW_AdjPermVB</vt:lpstr>
      <vt:lpstr>'ADAD|0456-00'!NEW_AdjPermVB</vt:lpstr>
      <vt:lpstr>'ADAK|0461-00'!NEW_AdjPermVB</vt:lpstr>
      <vt:lpstr>'ADAK|0462-00'!NEW_AdjPermVB</vt:lpstr>
      <vt:lpstr>'ADAK|0519-00'!NEW_AdjPermVB</vt:lpstr>
      <vt:lpstr>'ADAM|0001-00'!NEW_AdjPermVB</vt:lpstr>
      <vt:lpstr>'ADAM|0450-00'!NEW_AdjPermVB</vt:lpstr>
      <vt:lpstr>'ADAN|0456-00'!NEW_AdjPermVB</vt:lpstr>
      <vt:lpstr>'ADAN|0461-00'!NEW_AdjPermVB</vt:lpstr>
      <vt:lpstr>'ADAN|0462-00'!NEW_AdjPermVB</vt:lpstr>
      <vt:lpstr>NEW_AdjPermVB</vt:lpstr>
      <vt:lpstr>'ADAA|0001-00'!NEW_GroupFilled</vt:lpstr>
      <vt:lpstr>'ADAA|0365-00'!NEW_GroupFilled</vt:lpstr>
      <vt:lpstr>'ADAA|0450-00'!NEW_GroupFilled</vt:lpstr>
      <vt:lpstr>'ADAA|0519-00'!NEW_GroupFilled</vt:lpstr>
      <vt:lpstr>'ADAC|0365-00'!NEW_GroupFilled</vt:lpstr>
      <vt:lpstr>'ADAC|0450-00'!NEW_GroupFilled</vt:lpstr>
      <vt:lpstr>'ADAD|0450-00'!NEW_GroupFilled</vt:lpstr>
      <vt:lpstr>'ADAD|0456-00'!NEW_GroupFilled</vt:lpstr>
      <vt:lpstr>'ADAK|0461-00'!NEW_GroupFilled</vt:lpstr>
      <vt:lpstr>'ADAK|0462-00'!NEW_GroupFilled</vt:lpstr>
      <vt:lpstr>'ADAK|0519-00'!NEW_GroupFilled</vt:lpstr>
      <vt:lpstr>'ADAM|0001-00'!NEW_GroupFilled</vt:lpstr>
      <vt:lpstr>'ADAM|0450-00'!NEW_GroupFilled</vt:lpstr>
      <vt:lpstr>'ADAN|0456-00'!NEW_GroupFilled</vt:lpstr>
      <vt:lpstr>'ADAN|0461-00'!NEW_GroupFilled</vt:lpstr>
      <vt:lpstr>'ADAN|0462-00'!NEW_GroupFilled</vt:lpstr>
      <vt:lpstr>NEW_GroupFilled</vt:lpstr>
      <vt:lpstr>'ADAA|0001-00'!NEW_GroupSalaryFilled</vt:lpstr>
      <vt:lpstr>'ADAA|0365-00'!NEW_GroupSalaryFilled</vt:lpstr>
      <vt:lpstr>'ADAA|0450-00'!NEW_GroupSalaryFilled</vt:lpstr>
      <vt:lpstr>'ADAA|0519-00'!NEW_GroupSalaryFilled</vt:lpstr>
      <vt:lpstr>'ADAC|0365-00'!NEW_GroupSalaryFilled</vt:lpstr>
      <vt:lpstr>'ADAC|0450-00'!NEW_GroupSalaryFilled</vt:lpstr>
      <vt:lpstr>'ADAD|0450-00'!NEW_GroupSalaryFilled</vt:lpstr>
      <vt:lpstr>'ADAD|0456-00'!NEW_GroupSalaryFilled</vt:lpstr>
      <vt:lpstr>'ADAK|0461-00'!NEW_GroupSalaryFilled</vt:lpstr>
      <vt:lpstr>'ADAK|0462-00'!NEW_GroupSalaryFilled</vt:lpstr>
      <vt:lpstr>'ADAK|0519-00'!NEW_GroupSalaryFilled</vt:lpstr>
      <vt:lpstr>'ADAM|0001-00'!NEW_GroupSalaryFilled</vt:lpstr>
      <vt:lpstr>'ADAM|0450-00'!NEW_GroupSalaryFilled</vt:lpstr>
      <vt:lpstr>'ADAN|0456-00'!NEW_GroupSalaryFilled</vt:lpstr>
      <vt:lpstr>'ADAN|0461-00'!NEW_GroupSalaryFilled</vt:lpstr>
      <vt:lpstr>'ADAN|0462-00'!NEW_GroupSalaryFilled</vt:lpstr>
      <vt:lpstr>NEW_GroupSalaryFilled</vt:lpstr>
      <vt:lpstr>'ADAA|0001-00'!NEW_GroupVBFilled</vt:lpstr>
      <vt:lpstr>'ADAA|0365-00'!NEW_GroupVBFilled</vt:lpstr>
      <vt:lpstr>'ADAA|0450-00'!NEW_GroupVBFilled</vt:lpstr>
      <vt:lpstr>'ADAA|0519-00'!NEW_GroupVBFilled</vt:lpstr>
      <vt:lpstr>'ADAC|0365-00'!NEW_GroupVBFilled</vt:lpstr>
      <vt:lpstr>'ADAC|0450-00'!NEW_GroupVBFilled</vt:lpstr>
      <vt:lpstr>'ADAD|0450-00'!NEW_GroupVBFilled</vt:lpstr>
      <vt:lpstr>'ADAD|0456-00'!NEW_GroupVBFilled</vt:lpstr>
      <vt:lpstr>'ADAK|0461-00'!NEW_GroupVBFilled</vt:lpstr>
      <vt:lpstr>'ADAK|0462-00'!NEW_GroupVBFilled</vt:lpstr>
      <vt:lpstr>'ADAK|0519-00'!NEW_GroupVBFilled</vt:lpstr>
      <vt:lpstr>'ADAM|0001-00'!NEW_GroupVBFilled</vt:lpstr>
      <vt:lpstr>'ADAM|0450-00'!NEW_GroupVBFilled</vt:lpstr>
      <vt:lpstr>'ADAN|0456-00'!NEW_GroupVBFilled</vt:lpstr>
      <vt:lpstr>'ADAN|0461-00'!NEW_GroupVBFilled</vt:lpstr>
      <vt:lpstr>'ADAN|0462-00'!NEW_GroupVBFilled</vt:lpstr>
      <vt:lpstr>NEW_GroupVBFilled</vt:lpstr>
      <vt:lpstr>'ADAA|0001-00'!NEW_PermFilled</vt:lpstr>
      <vt:lpstr>'ADAA|0365-00'!NEW_PermFilled</vt:lpstr>
      <vt:lpstr>'ADAA|0450-00'!NEW_PermFilled</vt:lpstr>
      <vt:lpstr>'ADAA|0519-00'!NEW_PermFilled</vt:lpstr>
      <vt:lpstr>'ADAC|0365-00'!NEW_PermFilled</vt:lpstr>
      <vt:lpstr>'ADAC|0450-00'!NEW_PermFilled</vt:lpstr>
      <vt:lpstr>'ADAD|0450-00'!NEW_PermFilled</vt:lpstr>
      <vt:lpstr>'ADAD|0456-00'!NEW_PermFilled</vt:lpstr>
      <vt:lpstr>'ADAK|0461-00'!NEW_PermFilled</vt:lpstr>
      <vt:lpstr>'ADAK|0462-00'!NEW_PermFilled</vt:lpstr>
      <vt:lpstr>'ADAK|0519-00'!NEW_PermFilled</vt:lpstr>
      <vt:lpstr>'ADAM|0001-00'!NEW_PermFilled</vt:lpstr>
      <vt:lpstr>'ADAM|0450-00'!NEW_PermFilled</vt:lpstr>
      <vt:lpstr>'ADAN|0456-00'!NEW_PermFilled</vt:lpstr>
      <vt:lpstr>'ADAN|0461-00'!NEW_PermFilled</vt:lpstr>
      <vt:lpstr>'ADAN|0462-00'!NEW_PermFilled</vt:lpstr>
      <vt:lpstr>NEW_PermFilled</vt:lpstr>
      <vt:lpstr>'ADAA|0001-00'!NEW_PermSalaryFilled</vt:lpstr>
      <vt:lpstr>'ADAA|0365-00'!NEW_PermSalaryFilled</vt:lpstr>
      <vt:lpstr>'ADAA|0450-00'!NEW_PermSalaryFilled</vt:lpstr>
      <vt:lpstr>'ADAA|0519-00'!NEW_PermSalaryFilled</vt:lpstr>
      <vt:lpstr>'ADAC|0365-00'!NEW_PermSalaryFilled</vt:lpstr>
      <vt:lpstr>'ADAC|0450-00'!NEW_PermSalaryFilled</vt:lpstr>
      <vt:lpstr>'ADAD|0450-00'!NEW_PermSalaryFilled</vt:lpstr>
      <vt:lpstr>'ADAD|0456-00'!NEW_PermSalaryFilled</vt:lpstr>
      <vt:lpstr>'ADAK|0461-00'!NEW_PermSalaryFilled</vt:lpstr>
      <vt:lpstr>'ADAK|0462-00'!NEW_PermSalaryFilled</vt:lpstr>
      <vt:lpstr>'ADAK|0519-00'!NEW_PermSalaryFilled</vt:lpstr>
      <vt:lpstr>'ADAM|0001-00'!NEW_PermSalaryFilled</vt:lpstr>
      <vt:lpstr>'ADAM|0450-00'!NEW_PermSalaryFilled</vt:lpstr>
      <vt:lpstr>'ADAN|0456-00'!NEW_PermSalaryFilled</vt:lpstr>
      <vt:lpstr>'ADAN|0461-00'!NEW_PermSalaryFilled</vt:lpstr>
      <vt:lpstr>'ADAN|0462-00'!NEW_PermSalaryFilled</vt:lpstr>
      <vt:lpstr>NEW_PermSalaryFilled</vt:lpstr>
      <vt:lpstr>'ADAA|0001-00'!NEW_PermVBFilled</vt:lpstr>
      <vt:lpstr>'ADAA|0365-00'!NEW_PermVBFilled</vt:lpstr>
      <vt:lpstr>'ADAA|0450-00'!NEW_PermVBFilled</vt:lpstr>
      <vt:lpstr>'ADAA|0519-00'!NEW_PermVBFilled</vt:lpstr>
      <vt:lpstr>'ADAC|0365-00'!NEW_PermVBFilled</vt:lpstr>
      <vt:lpstr>'ADAC|0450-00'!NEW_PermVBFilled</vt:lpstr>
      <vt:lpstr>'ADAD|0450-00'!NEW_PermVBFilled</vt:lpstr>
      <vt:lpstr>'ADAD|0456-00'!NEW_PermVBFilled</vt:lpstr>
      <vt:lpstr>'ADAK|0461-00'!NEW_PermVBFilled</vt:lpstr>
      <vt:lpstr>'ADAK|0462-00'!NEW_PermVBFilled</vt:lpstr>
      <vt:lpstr>'ADAK|0519-00'!NEW_PermVBFilled</vt:lpstr>
      <vt:lpstr>'ADAM|0001-00'!NEW_PermVBFilled</vt:lpstr>
      <vt:lpstr>'ADAM|0450-00'!NEW_PermVBFilled</vt:lpstr>
      <vt:lpstr>'ADAN|0456-00'!NEW_PermVBFilled</vt:lpstr>
      <vt:lpstr>'ADAN|0461-00'!NEW_PermVBFilled</vt:lpstr>
      <vt:lpstr>'ADAN|0462-00'!NEW_PermVBFilled</vt:lpstr>
      <vt:lpstr>NEW_PermVBFilled</vt:lpstr>
      <vt:lpstr>'ADAA|0001-00'!OneTimePC_Total</vt:lpstr>
      <vt:lpstr>'ADAA|0365-00'!OneTimePC_Total</vt:lpstr>
      <vt:lpstr>'ADAA|0450-00'!OneTimePC_Total</vt:lpstr>
      <vt:lpstr>'ADAA|0519-00'!OneTimePC_Total</vt:lpstr>
      <vt:lpstr>'ADAC|0365-00'!OneTimePC_Total</vt:lpstr>
      <vt:lpstr>'ADAC|0450-00'!OneTimePC_Total</vt:lpstr>
      <vt:lpstr>'ADAD|0450-00'!OneTimePC_Total</vt:lpstr>
      <vt:lpstr>'ADAD|0456-00'!OneTimePC_Total</vt:lpstr>
      <vt:lpstr>'ADAK|0461-00'!OneTimePC_Total</vt:lpstr>
      <vt:lpstr>'ADAK|0462-00'!OneTimePC_Total</vt:lpstr>
      <vt:lpstr>'ADAK|0519-00'!OneTimePC_Total</vt:lpstr>
      <vt:lpstr>'ADAM|0001-00'!OneTimePC_Total</vt:lpstr>
      <vt:lpstr>'ADAM|0450-00'!OneTimePC_Total</vt:lpstr>
      <vt:lpstr>'ADAN|0456-00'!OneTimePC_Total</vt:lpstr>
      <vt:lpstr>'ADAN|0461-00'!OneTimePC_Total</vt:lpstr>
      <vt:lpstr>'ADAN|0462-00'!OneTimePC_Total</vt:lpstr>
      <vt:lpstr>OneTimePC_Total</vt:lpstr>
      <vt:lpstr>'ADAA|0001-00'!OrigApprop</vt:lpstr>
      <vt:lpstr>'ADAA|0365-00'!OrigApprop</vt:lpstr>
      <vt:lpstr>'ADAA|0450-00'!OrigApprop</vt:lpstr>
      <vt:lpstr>'ADAA|0519-00'!OrigApprop</vt:lpstr>
      <vt:lpstr>'ADAC|0365-00'!OrigApprop</vt:lpstr>
      <vt:lpstr>'ADAC|0450-00'!OrigApprop</vt:lpstr>
      <vt:lpstr>'ADAD|0450-00'!OrigApprop</vt:lpstr>
      <vt:lpstr>'ADAD|0456-00'!OrigApprop</vt:lpstr>
      <vt:lpstr>'ADAK|0461-00'!OrigApprop</vt:lpstr>
      <vt:lpstr>'ADAK|0462-00'!OrigApprop</vt:lpstr>
      <vt:lpstr>'ADAK|0519-00'!OrigApprop</vt:lpstr>
      <vt:lpstr>'ADAM|0001-00'!OrigApprop</vt:lpstr>
      <vt:lpstr>'ADAM|0450-00'!OrigApprop</vt:lpstr>
      <vt:lpstr>'ADAN|0456-00'!OrigApprop</vt:lpstr>
      <vt:lpstr>'ADAN|0461-00'!OrigApprop</vt:lpstr>
      <vt:lpstr>'ADAN|0462-00'!OrigApprop</vt:lpstr>
      <vt:lpstr>OrigApprop</vt:lpstr>
      <vt:lpstr>'ADAA|0001-00'!perm_name</vt:lpstr>
      <vt:lpstr>'ADAA|0365-00'!perm_name</vt:lpstr>
      <vt:lpstr>'ADAA|0450-00'!perm_name</vt:lpstr>
      <vt:lpstr>'ADAA|0519-00'!perm_name</vt:lpstr>
      <vt:lpstr>'ADAC|0365-00'!perm_name</vt:lpstr>
      <vt:lpstr>'ADAC|0450-00'!perm_name</vt:lpstr>
      <vt:lpstr>'ADAD|0450-00'!perm_name</vt:lpstr>
      <vt:lpstr>'ADAD|0456-00'!perm_name</vt:lpstr>
      <vt:lpstr>'ADAK|0461-00'!perm_name</vt:lpstr>
      <vt:lpstr>'ADAK|0462-00'!perm_name</vt:lpstr>
      <vt:lpstr>'ADAK|0519-00'!perm_name</vt:lpstr>
      <vt:lpstr>'ADAM|0001-00'!perm_name</vt:lpstr>
      <vt:lpstr>'ADAM|0450-00'!perm_name</vt:lpstr>
      <vt:lpstr>'ADAN|0456-00'!perm_name</vt:lpstr>
      <vt:lpstr>'ADAN|0461-00'!perm_name</vt:lpstr>
      <vt:lpstr>'ADAN|0462-00'!perm_name</vt:lpstr>
      <vt:lpstr>perm_name</vt:lpstr>
      <vt:lpstr>'ADAA|0001-00'!PermFTP</vt:lpstr>
      <vt:lpstr>'ADAA|0365-00'!PermFTP</vt:lpstr>
      <vt:lpstr>'ADAA|0450-00'!PermFTP</vt:lpstr>
      <vt:lpstr>'ADAA|0519-00'!PermFTP</vt:lpstr>
      <vt:lpstr>'ADAC|0365-00'!PermFTP</vt:lpstr>
      <vt:lpstr>'ADAC|0450-00'!PermFTP</vt:lpstr>
      <vt:lpstr>'ADAD|0450-00'!PermFTP</vt:lpstr>
      <vt:lpstr>'ADAD|0456-00'!PermFTP</vt:lpstr>
      <vt:lpstr>'ADAK|0461-00'!PermFTP</vt:lpstr>
      <vt:lpstr>'ADAK|0462-00'!PermFTP</vt:lpstr>
      <vt:lpstr>'ADAK|0519-00'!PermFTP</vt:lpstr>
      <vt:lpstr>'ADAM|0001-00'!PermFTP</vt:lpstr>
      <vt:lpstr>'ADAM|0450-00'!PermFTP</vt:lpstr>
      <vt:lpstr>'ADAN|0456-00'!PermFTP</vt:lpstr>
      <vt:lpstr>'ADAN|0461-00'!PermFTP</vt:lpstr>
      <vt:lpstr>'ADAN|0462-00'!PermFTP</vt:lpstr>
      <vt:lpstr>PermFTP</vt:lpstr>
      <vt:lpstr>'ADAA|0001-00'!PermFxdBen</vt:lpstr>
      <vt:lpstr>'ADAA|0365-00'!PermFxdBen</vt:lpstr>
      <vt:lpstr>'ADAA|0450-00'!PermFxdBen</vt:lpstr>
      <vt:lpstr>'ADAA|0519-00'!PermFxdBen</vt:lpstr>
      <vt:lpstr>'ADAC|0365-00'!PermFxdBen</vt:lpstr>
      <vt:lpstr>'ADAC|0450-00'!PermFxdBen</vt:lpstr>
      <vt:lpstr>'ADAD|0450-00'!PermFxdBen</vt:lpstr>
      <vt:lpstr>'ADAD|0456-00'!PermFxdBen</vt:lpstr>
      <vt:lpstr>'ADAK|0461-00'!PermFxdBen</vt:lpstr>
      <vt:lpstr>'ADAK|0462-00'!PermFxdBen</vt:lpstr>
      <vt:lpstr>'ADAK|0519-00'!PermFxdBen</vt:lpstr>
      <vt:lpstr>'ADAM|0001-00'!PermFxdBen</vt:lpstr>
      <vt:lpstr>'ADAM|0450-00'!PermFxdBen</vt:lpstr>
      <vt:lpstr>'ADAN|0456-00'!PermFxdBen</vt:lpstr>
      <vt:lpstr>'ADAN|0461-00'!PermFxdBen</vt:lpstr>
      <vt:lpstr>'ADAN|0462-00'!PermFxdBen</vt:lpstr>
      <vt:lpstr>PermFxdBen</vt:lpstr>
      <vt:lpstr>'ADAA|0001-00'!PermFxdBenChg</vt:lpstr>
      <vt:lpstr>'ADAA|0365-00'!PermFxdBenChg</vt:lpstr>
      <vt:lpstr>'ADAA|0450-00'!PermFxdBenChg</vt:lpstr>
      <vt:lpstr>'ADAA|0519-00'!PermFxdBenChg</vt:lpstr>
      <vt:lpstr>'ADAC|0365-00'!PermFxdBenChg</vt:lpstr>
      <vt:lpstr>'ADAC|0450-00'!PermFxdBenChg</vt:lpstr>
      <vt:lpstr>'ADAD|0450-00'!PermFxdBenChg</vt:lpstr>
      <vt:lpstr>'ADAD|0456-00'!PermFxdBenChg</vt:lpstr>
      <vt:lpstr>'ADAK|0461-00'!PermFxdBenChg</vt:lpstr>
      <vt:lpstr>'ADAK|0462-00'!PermFxdBenChg</vt:lpstr>
      <vt:lpstr>'ADAK|0519-00'!PermFxdBenChg</vt:lpstr>
      <vt:lpstr>'ADAM|0001-00'!PermFxdBenChg</vt:lpstr>
      <vt:lpstr>'ADAM|0450-00'!PermFxdBenChg</vt:lpstr>
      <vt:lpstr>'ADAN|0456-00'!PermFxdBenChg</vt:lpstr>
      <vt:lpstr>'ADAN|0461-00'!PermFxdBenChg</vt:lpstr>
      <vt:lpstr>'ADAN|0462-00'!PermFxdBenChg</vt:lpstr>
      <vt:lpstr>PermFxdBenChg</vt:lpstr>
      <vt:lpstr>'ADAA|0001-00'!PermFxdChg</vt:lpstr>
      <vt:lpstr>'ADAA|0365-00'!PermFxdChg</vt:lpstr>
      <vt:lpstr>'ADAA|0450-00'!PermFxdChg</vt:lpstr>
      <vt:lpstr>'ADAA|0519-00'!PermFxdChg</vt:lpstr>
      <vt:lpstr>'ADAC|0365-00'!PermFxdChg</vt:lpstr>
      <vt:lpstr>'ADAC|0450-00'!PermFxdChg</vt:lpstr>
      <vt:lpstr>'ADAD|0450-00'!PermFxdChg</vt:lpstr>
      <vt:lpstr>'ADAD|0456-00'!PermFxdChg</vt:lpstr>
      <vt:lpstr>'ADAK|0461-00'!PermFxdChg</vt:lpstr>
      <vt:lpstr>'ADAK|0462-00'!PermFxdChg</vt:lpstr>
      <vt:lpstr>'ADAK|0519-00'!PermFxdChg</vt:lpstr>
      <vt:lpstr>'ADAM|0001-00'!PermFxdChg</vt:lpstr>
      <vt:lpstr>'ADAM|0450-00'!PermFxdChg</vt:lpstr>
      <vt:lpstr>'ADAN|0456-00'!PermFxdChg</vt:lpstr>
      <vt:lpstr>'ADAN|0461-00'!PermFxdChg</vt:lpstr>
      <vt:lpstr>'ADAN|0462-00'!PermFxdChg</vt:lpstr>
      <vt:lpstr>PermFxdChg</vt:lpstr>
      <vt:lpstr>'ADAA|0001-00'!PermSalary</vt:lpstr>
      <vt:lpstr>'ADAA|0365-00'!PermSalary</vt:lpstr>
      <vt:lpstr>'ADAA|0450-00'!PermSalary</vt:lpstr>
      <vt:lpstr>'ADAA|0519-00'!PermSalary</vt:lpstr>
      <vt:lpstr>'ADAC|0365-00'!PermSalary</vt:lpstr>
      <vt:lpstr>'ADAC|0450-00'!PermSalary</vt:lpstr>
      <vt:lpstr>'ADAD|0450-00'!PermSalary</vt:lpstr>
      <vt:lpstr>'ADAD|0456-00'!PermSalary</vt:lpstr>
      <vt:lpstr>'ADAK|0461-00'!PermSalary</vt:lpstr>
      <vt:lpstr>'ADAK|0462-00'!PermSalary</vt:lpstr>
      <vt:lpstr>'ADAK|0519-00'!PermSalary</vt:lpstr>
      <vt:lpstr>'ADAM|0001-00'!PermSalary</vt:lpstr>
      <vt:lpstr>'ADAM|0450-00'!PermSalary</vt:lpstr>
      <vt:lpstr>'ADAN|0456-00'!PermSalary</vt:lpstr>
      <vt:lpstr>'ADAN|0461-00'!PermSalary</vt:lpstr>
      <vt:lpstr>'ADAN|0462-00'!PermSalary</vt:lpstr>
      <vt:lpstr>PermSalary</vt:lpstr>
      <vt:lpstr>'ADAA|0001-00'!PermVarBen</vt:lpstr>
      <vt:lpstr>'ADAA|0365-00'!PermVarBen</vt:lpstr>
      <vt:lpstr>'ADAA|0450-00'!PermVarBen</vt:lpstr>
      <vt:lpstr>'ADAA|0519-00'!PermVarBen</vt:lpstr>
      <vt:lpstr>'ADAC|0365-00'!PermVarBen</vt:lpstr>
      <vt:lpstr>'ADAC|0450-00'!PermVarBen</vt:lpstr>
      <vt:lpstr>'ADAD|0450-00'!PermVarBen</vt:lpstr>
      <vt:lpstr>'ADAD|0456-00'!PermVarBen</vt:lpstr>
      <vt:lpstr>'ADAK|0461-00'!PermVarBen</vt:lpstr>
      <vt:lpstr>'ADAK|0462-00'!PermVarBen</vt:lpstr>
      <vt:lpstr>'ADAK|0519-00'!PermVarBen</vt:lpstr>
      <vt:lpstr>'ADAM|0001-00'!PermVarBen</vt:lpstr>
      <vt:lpstr>'ADAM|0450-00'!PermVarBen</vt:lpstr>
      <vt:lpstr>'ADAN|0456-00'!PermVarBen</vt:lpstr>
      <vt:lpstr>'ADAN|0461-00'!PermVarBen</vt:lpstr>
      <vt:lpstr>'ADAN|0462-00'!PermVarBen</vt:lpstr>
      <vt:lpstr>PermVarBen</vt:lpstr>
      <vt:lpstr>'ADAA|0001-00'!PermVarBenChg</vt:lpstr>
      <vt:lpstr>'ADAA|0365-00'!PermVarBenChg</vt:lpstr>
      <vt:lpstr>'ADAA|0450-00'!PermVarBenChg</vt:lpstr>
      <vt:lpstr>'ADAA|0519-00'!PermVarBenChg</vt:lpstr>
      <vt:lpstr>'ADAC|0365-00'!PermVarBenChg</vt:lpstr>
      <vt:lpstr>'ADAC|0450-00'!PermVarBenChg</vt:lpstr>
      <vt:lpstr>'ADAD|0450-00'!PermVarBenChg</vt:lpstr>
      <vt:lpstr>'ADAD|0456-00'!PermVarBenChg</vt:lpstr>
      <vt:lpstr>'ADAK|0461-00'!PermVarBenChg</vt:lpstr>
      <vt:lpstr>'ADAK|0462-00'!PermVarBenChg</vt:lpstr>
      <vt:lpstr>'ADAK|0519-00'!PermVarBenChg</vt:lpstr>
      <vt:lpstr>'ADAM|0001-00'!PermVarBenChg</vt:lpstr>
      <vt:lpstr>'ADAM|0450-00'!PermVarBenChg</vt:lpstr>
      <vt:lpstr>'ADAN|0456-00'!PermVarBenChg</vt:lpstr>
      <vt:lpstr>'ADAN|0461-00'!PermVarBenChg</vt:lpstr>
      <vt:lpstr>'ADAN|0462-00'!PermVarBenChg</vt:lpstr>
      <vt:lpstr>PermVarBenChg</vt:lpstr>
      <vt:lpstr>PermVB</vt:lpstr>
      <vt:lpstr>PermVBBY</vt:lpstr>
      <vt:lpstr>PermVBCHG</vt:lpstr>
      <vt:lpstr>'ADAA|0001-00'!Print_Area</vt:lpstr>
      <vt:lpstr>'ADAA|0365-00'!Print_Area</vt:lpstr>
      <vt:lpstr>'ADAA|0450-00'!Print_Area</vt:lpstr>
      <vt:lpstr>'ADAA|0519-00'!Print_Area</vt:lpstr>
      <vt:lpstr>'ADAC|0365-00'!Print_Area</vt:lpstr>
      <vt:lpstr>'ADAC|0450-00'!Print_Area</vt:lpstr>
      <vt:lpstr>'ADAD|0450-00'!Print_Area</vt:lpstr>
      <vt:lpstr>'ADAD|0456-00'!Print_Area</vt:lpstr>
      <vt:lpstr>'ADAK|0461-00'!Print_Area</vt:lpstr>
      <vt:lpstr>'ADAK|0462-00'!Print_Area</vt:lpstr>
      <vt:lpstr>'ADAK|0519-00'!Print_Area</vt:lpstr>
      <vt:lpstr>'ADAM|0001-00'!Print_Area</vt:lpstr>
      <vt:lpstr>'ADAM|0450-00'!Print_Area</vt:lpstr>
      <vt:lpstr>'ADAN|0456-00'!Print_Area</vt:lpstr>
      <vt:lpstr>'ADAN|0461-00'!Print_Area</vt:lpstr>
      <vt:lpstr>'ADAN|0462-00'!Print_Area</vt:lpstr>
      <vt:lpstr>'B6'!Print_Area</vt:lpstr>
      <vt:lpstr>Benefits!Print_Area</vt:lpstr>
      <vt:lpstr>'ADAA|0001-00'!Prog_Unadjusted_Total</vt:lpstr>
      <vt:lpstr>'ADAA|0365-00'!Prog_Unadjusted_Total</vt:lpstr>
      <vt:lpstr>'ADAA|0450-00'!Prog_Unadjusted_Total</vt:lpstr>
      <vt:lpstr>'ADAA|0519-00'!Prog_Unadjusted_Total</vt:lpstr>
      <vt:lpstr>'ADAC|0365-00'!Prog_Unadjusted_Total</vt:lpstr>
      <vt:lpstr>'ADAC|0450-00'!Prog_Unadjusted_Total</vt:lpstr>
      <vt:lpstr>'ADAD|0450-00'!Prog_Unadjusted_Total</vt:lpstr>
      <vt:lpstr>'ADAD|0456-00'!Prog_Unadjusted_Total</vt:lpstr>
      <vt:lpstr>'ADAK|0461-00'!Prog_Unadjusted_Total</vt:lpstr>
      <vt:lpstr>'ADAK|0462-00'!Prog_Unadjusted_Total</vt:lpstr>
      <vt:lpstr>'ADAK|0519-00'!Prog_Unadjusted_Total</vt:lpstr>
      <vt:lpstr>'ADAM|0001-00'!Prog_Unadjusted_Total</vt:lpstr>
      <vt:lpstr>'ADAM|0450-00'!Prog_Unadjusted_Total</vt:lpstr>
      <vt:lpstr>'ADAN|0456-00'!Prog_Unadjusted_Total</vt:lpstr>
      <vt:lpstr>'ADAN|0461-00'!Prog_Unadjusted_Total</vt:lpstr>
      <vt:lpstr>'ADAN|0462-00'!Prog_Unadjusted_Total</vt:lpstr>
      <vt:lpstr>Prog_Unadjusted_Total</vt:lpstr>
      <vt:lpstr>'ADAA|0001-00'!Program</vt:lpstr>
      <vt:lpstr>'ADAA|0365-00'!Program</vt:lpstr>
      <vt:lpstr>'ADAA|0450-00'!Program</vt:lpstr>
      <vt:lpstr>'ADAA|0519-00'!Program</vt:lpstr>
      <vt:lpstr>'ADAC|0365-00'!Program</vt:lpstr>
      <vt:lpstr>'ADAC|0450-00'!Program</vt:lpstr>
      <vt:lpstr>'ADAD|0450-00'!Program</vt:lpstr>
      <vt:lpstr>'ADAD|0456-00'!Program</vt:lpstr>
      <vt:lpstr>'ADAK|0461-00'!Program</vt:lpstr>
      <vt:lpstr>'ADAK|0462-00'!Program</vt:lpstr>
      <vt:lpstr>'ADAK|0519-00'!Program</vt:lpstr>
      <vt:lpstr>'ADAM|0001-00'!Program</vt:lpstr>
      <vt:lpstr>'ADAM|0450-00'!Program</vt:lpstr>
      <vt:lpstr>'ADAN|0456-00'!Program</vt:lpstr>
      <vt:lpstr>'ADAN|0461-00'!Program</vt:lpstr>
      <vt:lpstr>'ADAN|0462-00'!Program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'ADAA|0001-00'!RoundedAppropSalary</vt:lpstr>
      <vt:lpstr>'ADAA|0365-00'!RoundedAppropSalary</vt:lpstr>
      <vt:lpstr>'ADAA|0450-00'!RoundedAppropSalary</vt:lpstr>
      <vt:lpstr>'ADAA|0519-00'!RoundedAppropSalary</vt:lpstr>
      <vt:lpstr>'ADAC|0365-00'!RoundedAppropSalary</vt:lpstr>
      <vt:lpstr>'ADAC|0450-00'!RoundedAppropSalary</vt:lpstr>
      <vt:lpstr>'ADAD|0450-00'!RoundedAppropSalary</vt:lpstr>
      <vt:lpstr>'ADAD|0456-00'!RoundedAppropSalary</vt:lpstr>
      <vt:lpstr>'ADAK|0461-00'!RoundedAppropSalary</vt:lpstr>
      <vt:lpstr>'ADAK|0462-00'!RoundedAppropSalary</vt:lpstr>
      <vt:lpstr>'ADAK|0519-00'!RoundedAppropSalary</vt:lpstr>
      <vt:lpstr>'ADAM|0001-00'!RoundedAppropSalary</vt:lpstr>
      <vt:lpstr>'ADAM|0450-00'!RoundedAppropSalary</vt:lpstr>
      <vt:lpstr>'ADAN|0456-00'!RoundedAppropSalary</vt:lpstr>
      <vt:lpstr>'ADAN|0461-00'!RoundedAppropSalary</vt:lpstr>
      <vt:lpstr>'ADAN|0462-00'!RoundedAppropSalary</vt:lpstr>
      <vt:lpstr>RoundedAppropSalary</vt:lpstr>
      <vt:lpstr>'ADAA|0001-00'!SalaryChg</vt:lpstr>
      <vt:lpstr>'ADAA|0365-00'!SalaryChg</vt:lpstr>
      <vt:lpstr>'ADAA|0450-00'!SalaryChg</vt:lpstr>
      <vt:lpstr>'ADAA|0519-00'!SalaryChg</vt:lpstr>
      <vt:lpstr>'ADAC|0365-00'!SalaryChg</vt:lpstr>
      <vt:lpstr>'ADAC|0450-00'!SalaryChg</vt:lpstr>
      <vt:lpstr>'ADAD|0450-00'!SalaryChg</vt:lpstr>
      <vt:lpstr>'ADAD|0456-00'!SalaryChg</vt:lpstr>
      <vt:lpstr>'ADAK|0461-00'!SalaryChg</vt:lpstr>
      <vt:lpstr>'ADAK|0462-00'!SalaryChg</vt:lpstr>
      <vt:lpstr>'ADAK|0519-00'!SalaryChg</vt:lpstr>
      <vt:lpstr>'ADAM|0001-00'!SalaryChg</vt:lpstr>
      <vt:lpstr>'ADAM|0450-00'!SalaryChg</vt:lpstr>
      <vt:lpstr>'ADAN|0456-00'!SalaryChg</vt:lpstr>
      <vt:lpstr>'ADAN|0461-00'!SalaryChg</vt:lpstr>
      <vt:lpstr>'ADAN|0462-00'!SalaryChg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210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